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ogdanrus/Library/CloudStorage/GoogleDrive-sales@elementelevators.com/My Drive/Element/OPERATIONS/"/>
    </mc:Choice>
  </mc:AlternateContent>
  <xr:revisionPtr revIDLastSave="0" documentId="13_ncr:1_{CD66E00F-7BB9-C143-AC37-360A48E46A27}" xr6:coauthVersionLast="47" xr6:coauthVersionMax="47" xr10:uidLastSave="{00000000-0000-0000-0000-000000000000}"/>
  <bookViews>
    <workbookView xWindow="50580" yWindow="-11160" windowWidth="28720" windowHeight="26140" xr2:uid="{C3B2D215-8EFC-5249-B816-41F28E71E2BC}"/>
  </bookViews>
  <sheets>
    <sheet name="Sheet1" sheetId="1" r:id="rId1"/>
    <sheet name="Sheet2" sheetId="2" state="hidden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58" i="1" l="1"/>
  <c r="E20" i="1"/>
  <c r="H23" i="1" l="1"/>
  <c r="B19" i="1"/>
  <c r="M17" i="1"/>
  <c r="B27" i="2"/>
  <c r="C27" i="2" s="1"/>
  <c r="H29" i="2" s="1"/>
  <c r="B26" i="2"/>
  <c r="C26" i="2" s="1"/>
  <c r="H23" i="2" s="1"/>
  <c r="B25" i="2"/>
  <c r="C25" i="2" s="1"/>
  <c r="H21" i="2" s="1"/>
  <c r="B24" i="2"/>
  <c r="C24" i="2" s="1"/>
  <c r="H14" i="2" s="1"/>
  <c r="B23" i="2"/>
  <c r="C23" i="2" s="1"/>
  <c r="H13" i="2" s="1"/>
  <c r="B28" i="2"/>
  <c r="C28" i="2" s="1"/>
  <c r="H33" i="2" s="1"/>
  <c r="B22" i="2"/>
  <c r="C22" i="2" s="1"/>
  <c r="H6" i="2" s="1"/>
  <c r="B21" i="2"/>
  <c r="C21" i="2" s="1"/>
  <c r="H3" i="2" s="1"/>
  <c r="B18" i="2"/>
  <c r="B16" i="2"/>
  <c r="E6" i="2" s="1"/>
  <c r="F19" i="1"/>
  <c r="B14" i="2"/>
  <c r="O42" i="1" s="1"/>
  <c r="B13" i="2"/>
  <c r="M42" i="1" s="1"/>
  <c r="B12" i="2"/>
  <c r="K42" i="1" s="1"/>
  <c r="B11" i="2"/>
  <c r="B10" i="2"/>
  <c r="G42" i="1" s="1"/>
  <c r="B9" i="2"/>
  <c r="B8" i="2"/>
  <c r="C42" i="1" s="1"/>
  <c r="T54" i="1" s="1"/>
  <c r="B7" i="2"/>
  <c r="O38" i="1" s="1"/>
  <c r="B6" i="2"/>
  <c r="M32" i="1" s="1"/>
  <c r="B4" i="2"/>
  <c r="I32" i="1" s="1"/>
  <c r="L57" i="1" s="1"/>
  <c r="B5" i="2"/>
  <c r="K37" i="1" s="1"/>
  <c r="B3" i="2"/>
  <c r="G32" i="1" s="1"/>
  <c r="B2" i="2"/>
  <c r="B1" i="2"/>
  <c r="C32" i="1" s="1"/>
  <c r="P60" i="1" s="1"/>
  <c r="B20" i="1"/>
  <c r="I19" i="1"/>
  <c r="I28" i="1"/>
  <c r="B28" i="1"/>
  <c r="H18" i="1"/>
  <c r="M18" i="1"/>
  <c r="E18" i="1"/>
  <c r="B18" i="1"/>
  <c r="L27" i="1"/>
  <c r="B27" i="1"/>
  <c r="L26" i="1"/>
  <c r="B26" i="1"/>
  <c r="H17" i="1"/>
  <c r="E17" i="1"/>
  <c r="B17" i="1"/>
  <c r="B16" i="1"/>
  <c r="E42" i="1" l="1"/>
  <c r="T57" i="1" s="1"/>
  <c r="E48" i="1"/>
  <c r="T56" i="1" s="1"/>
  <c r="I44" i="1"/>
  <c r="H56" i="1" s="1"/>
  <c r="I45" i="1"/>
  <c r="L56" i="1" s="1"/>
  <c r="E32" i="1"/>
  <c r="E33" i="1"/>
  <c r="E34" i="1"/>
  <c r="E5" i="2"/>
  <c r="E4" i="2"/>
  <c r="E3" i="2"/>
  <c r="E2" i="2"/>
  <c r="E9" i="2"/>
  <c r="E7" i="2"/>
  <c r="E8" i="2"/>
  <c r="H15" i="2"/>
  <c r="H16" i="2"/>
  <c r="H17" i="2"/>
  <c r="H18" i="2"/>
  <c r="H24" i="2"/>
  <c r="H25" i="2"/>
  <c r="H26" i="2"/>
  <c r="H27" i="2"/>
  <c r="H28" i="2"/>
  <c r="H7" i="2"/>
  <c r="H8" i="2"/>
  <c r="H9" i="2"/>
  <c r="H19" i="2"/>
  <c r="H10" i="2"/>
  <c r="H20" i="2"/>
  <c r="H30" i="2"/>
  <c r="H11" i="2"/>
  <c r="H31" i="2"/>
  <c r="H2" i="2"/>
  <c r="H12" i="2"/>
  <c r="H22" i="2"/>
  <c r="H32" i="2"/>
  <c r="H4" i="2"/>
  <c r="H5" i="2"/>
  <c r="C48" i="1"/>
  <c r="E43" i="1"/>
  <c r="T58" i="1" s="1"/>
  <c r="E44" i="1"/>
  <c r="E45" i="1"/>
  <c r="I38" i="1"/>
  <c r="G35" i="1"/>
  <c r="M44" i="1"/>
  <c r="I37" i="1"/>
  <c r="C44" i="1"/>
  <c r="C45" i="1"/>
  <c r="C47" i="1"/>
  <c r="L60" i="1" s="1"/>
  <c r="K39" i="1"/>
  <c r="M36" i="1"/>
  <c r="T55" i="1" s="1"/>
  <c r="E49" i="1"/>
  <c r="O33" i="1"/>
  <c r="E47" i="1"/>
  <c r="L58" i="1" s="1"/>
  <c r="I39" i="1"/>
  <c r="K33" i="1"/>
  <c r="M35" i="1"/>
  <c r="T59" i="1" s="1"/>
  <c r="M39" i="1"/>
  <c r="C49" i="1"/>
  <c r="M37" i="1"/>
  <c r="G33" i="1"/>
  <c r="O34" i="1"/>
  <c r="G34" i="1"/>
  <c r="C43" i="1"/>
  <c r="M43" i="1"/>
  <c r="I46" i="1"/>
  <c r="O39" i="1"/>
  <c r="G36" i="1"/>
  <c r="K34" i="1"/>
  <c r="M38" i="1"/>
  <c r="C46" i="1"/>
  <c r="G44" i="1"/>
  <c r="I48" i="1"/>
  <c r="M46" i="1"/>
  <c r="K35" i="1"/>
  <c r="K36" i="1"/>
  <c r="G37" i="1"/>
  <c r="G45" i="1"/>
  <c r="K43" i="1"/>
  <c r="M47" i="1"/>
  <c r="K32" i="1"/>
  <c r="G46" i="1"/>
  <c r="K44" i="1"/>
  <c r="P55" i="1" s="1"/>
  <c r="P53" i="1" s="1"/>
  <c r="M48" i="1"/>
  <c r="I49" i="1"/>
  <c r="I34" i="1"/>
  <c r="K38" i="1"/>
  <c r="O36" i="1"/>
  <c r="D58" i="1" s="1"/>
  <c r="G48" i="1"/>
  <c r="K46" i="1"/>
  <c r="E15" i="2" s="1"/>
  <c r="I42" i="1"/>
  <c r="L55" i="1" s="1"/>
  <c r="I35" i="1"/>
  <c r="M33" i="1"/>
  <c r="I16" i="1" s="1"/>
  <c r="O37" i="1"/>
  <c r="P56" i="1" s="1"/>
  <c r="K47" i="1"/>
  <c r="E14" i="2" s="1"/>
  <c r="G43" i="1"/>
  <c r="I47" i="1"/>
  <c r="M45" i="1"/>
  <c r="G38" i="1"/>
  <c r="O32" i="1"/>
  <c r="G49" i="1"/>
  <c r="I33" i="1"/>
  <c r="O35" i="1"/>
  <c r="G47" i="1"/>
  <c r="K45" i="1"/>
  <c r="E16" i="2" s="1"/>
  <c r="K49" i="1"/>
  <c r="E12" i="2" s="1"/>
  <c r="I43" i="1"/>
  <c r="L54" i="1" s="1"/>
  <c r="G39" i="1"/>
  <c r="M49" i="1"/>
  <c r="I36" i="1"/>
  <c r="M34" i="1"/>
  <c r="E46" i="1"/>
  <c r="L59" i="1" s="1"/>
  <c r="K48" i="1"/>
  <c r="E13" i="2" s="1"/>
  <c r="O45" i="1"/>
  <c r="O46" i="1"/>
  <c r="O44" i="1"/>
  <c r="O49" i="1"/>
  <c r="O47" i="1"/>
  <c r="O43" i="1"/>
  <c r="O48" i="1"/>
  <c r="E35" i="1"/>
  <c r="E36" i="1"/>
  <c r="E37" i="1"/>
  <c r="E38" i="1"/>
  <c r="E39" i="1"/>
  <c r="C33" i="1"/>
  <c r="P59" i="1" s="1"/>
  <c r="C34" i="1"/>
  <c r="C35" i="1"/>
  <c r="C36" i="1"/>
  <c r="C37" i="1"/>
  <c r="C38" i="1"/>
  <c r="P61" i="1" s="1"/>
  <c r="C39" i="1"/>
  <c r="P62" i="1" s="1"/>
  <c r="P54" i="1" l="1"/>
  <c r="D53" i="1"/>
  <c r="E17" i="2"/>
  <c r="E18" i="2" s="1"/>
  <c r="P57" i="1" s="1"/>
  <c r="B23" i="1"/>
  <c r="D55" i="1"/>
  <c r="D60" i="1"/>
  <c r="D54" i="1"/>
  <c r="H54" i="1"/>
  <c r="D57" i="1"/>
  <c r="D56" i="1"/>
  <c r="J62" i="1"/>
  <c r="H55" i="1"/>
  <c r="D59" i="1"/>
  <c r="C13" i="1"/>
  <c r="B62" i="1" l="1"/>
</calcChain>
</file>

<file path=xl/sharedStrings.xml><?xml version="1.0" encoding="utf-8"?>
<sst xmlns="http://schemas.openxmlformats.org/spreadsheetml/2006/main" count="342" uniqueCount="294">
  <si>
    <t>prc</t>
  </si>
  <si>
    <t>srv</t>
  </si>
  <si>
    <t>drf</t>
  </si>
  <si>
    <t>rdf</t>
  </si>
  <si>
    <t>dpr</t>
  </si>
  <si>
    <t>emp</t>
  </si>
  <si>
    <t>dir</t>
  </si>
  <si>
    <t>med</t>
  </si>
  <si>
    <t>cbl</t>
  </si>
  <si>
    <t>equ</t>
  </si>
  <si>
    <t>fir</t>
  </si>
  <si>
    <t>rfi</t>
  </si>
  <si>
    <t>hsf</t>
  </si>
  <si>
    <t>stf</t>
  </si>
  <si>
    <t>cal</t>
  </si>
  <si>
    <t>esp</t>
  </si>
  <si>
    <t>nst</t>
  </si>
  <si>
    <t>rlv</t>
  </si>
  <si>
    <t>ste</t>
  </si>
  <si>
    <t>pdo</t>
  </si>
  <si>
    <t>st0</t>
  </si>
  <si>
    <t>ins</t>
  </si>
  <si>
    <t>nds</t>
  </si>
  <si>
    <t>dev</t>
  </si>
  <si>
    <t>pf1</t>
  </si>
  <si>
    <t>pf2</t>
  </si>
  <si>
    <t>dv2</t>
  </si>
  <si>
    <t>io0</t>
  </si>
  <si>
    <t>io1</t>
  </si>
  <si>
    <t>io2</t>
  </si>
  <si>
    <t>io3</t>
  </si>
  <si>
    <t>io4</t>
  </si>
  <si>
    <t>io5</t>
  </si>
  <si>
    <t>io6</t>
  </si>
  <si>
    <t>io7</t>
  </si>
  <si>
    <t>io8</t>
  </si>
  <si>
    <t>io9</t>
  </si>
  <si>
    <t>ioA</t>
  </si>
  <si>
    <t>ioB</t>
  </si>
  <si>
    <t>ioC</t>
  </si>
  <si>
    <t>ioD</t>
  </si>
  <si>
    <t>StatusF</t>
  </si>
  <si>
    <t>statusF</t>
  </si>
  <si>
    <t>001</t>
  </si>
  <si>
    <t>000</t>
  </si>
  <si>
    <t>003</t>
  </si>
  <si>
    <t>005</t>
  </si>
  <si>
    <t>Elevator Data</t>
  </si>
  <si>
    <t>Service Modes</t>
  </si>
  <si>
    <t>N/A</t>
  </si>
  <si>
    <t>Car I/O Status</t>
  </si>
  <si>
    <t>DT3</t>
  </si>
  <si>
    <t>DT2</t>
  </si>
  <si>
    <t>DT1</t>
  </si>
  <si>
    <t>DTS</t>
  </si>
  <si>
    <t>UT3</t>
  </si>
  <si>
    <t>UT2</t>
  </si>
  <si>
    <t>UT1</t>
  </si>
  <si>
    <t>UTS</t>
  </si>
  <si>
    <t>Safety String</t>
  </si>
  <si>
    <t>ALT</t>
  </si>
  <si>
    <t>MRS</t>
  </si>
  <si>
    <t>HWS</t>
  </si>
  <si>
    <t>5D</t>
  </si>
  <si>
    <t>4D</t>
  </si>
  <si>
    <t>DT5/3D</t>
  </si>
  <si>
    <t>DT4/2D</t>
  </si>
  <si>
    <t>4U</t>
  </si>
  <si>
    <t>RTL/3U</t>
  </si>
  <si>
    <t>UT5/2U</t>
  </si>
  <si>
    <t>UT4/1U</t>
  </si>
  <si>
    <t>DL-1</t>
  </si>
  <si>
    <t>UL-1</t>
  </si>
  <si>
    <t>BKS</t>
  </si>
  <si>
    <t>DEL</t>
  </si>
  <si>
    <t>AD</t>
  </si>
  <si>
    <t>IND</t>
  </si>
  <si>
    <t>LBP</t>
  </si>
  <si>
    <t>GBP</t>
  </si>
  <si>
    <t>RLM</t>
  </si>
  <si>
    <t>DLT</t>
  </si>
  <si>
    <t>DLM</t>
  </si>
  <si>
    <t>DLB</t>
  </si>
  <si>
    <t>UT</t>
  </si>
  <si>
    <t>UN</t>
  </si>
  <si>
    <t>DT</t>
  </si>
  <si>
    <t>DN</t>
  </si>
  <si>
    <t>SS</t>
  </si>
  <si>
    <t>HC</t>
  </si>
  <si>
    <t>FS</t>
  </si>
  <si>
    <t>BP</t>
  </si>
  <si>
    <t>MES</t>
  </si>
  <si>
    <t>INS</t>
  </si>
  <si>
    <t>LC</t>
  </si>
  <si>
    <t>GS-1</t>
  </si>
  <si>
    <t>DPM</t>
  </si>
  <si>
    <t>DL</t>
  </si>
  <si>
    <t>DZ</t>
  </si>
  <si>
    <t>UL</t>
  </si>
  <si>
    <t>AUTO</t>
  </si>
  <si>
    <t>MRID</t>
  </si>
  <si>
    <t>MRIU</t>
  </si>
  <si>
    <t>MRI</t>
  </si>
  <si>
    <t>ICI</t>
  </si>
  <si>
    <t>CS</t>
  </si>
  <si>
    <t>ID</t>
  </si>
  <si>
    <t>IU</t>
  </si>
  <si>
    <t>DON</t>
  </si>
  <si>
    <t>BRKI</t>
  </si>
  <si>
    <t>GTR2</t>
  </si>
  <si>
    <t>GTR1</t>
  </si>
  <si>
    <t>RDY</t>
  </si>
  <si>
    <t>GTS</t>
  </si>
  <si>
    <t>FST</t>
  </si>
  <si>
    <t>P/RTL</t>
  </si>
  <si>
    <t>LVC</t>
  </si>
  <si>
    <t>SECF/SVSD</t>
  </si>
  <si>
    <t>RGS-1</t>
  </si>
  <si>
    <t>MCAI</t>
  </si>
  <si>
    <t>MCCI</t>
  </si>
  <si>
    <t>RUNAI</t>
  </si>
  <si>
    <t>RUNI</t>
  </si>
  <si>
    <t>PS</t>
  </si>
  <si>
    <t>GOV</t>
  </si>
  <si>
    <t>RDPM</t>
  </si>
  <si>
    <t>CTS</t>
  </si>
  <si>
    <t>UFI</t>
  </si>
  <si>
    <t>UPI</t>
  </si>
  <si>
    <t>DFI</t>
  </si>
  <si>
    <t>DNI</t>
  </si>
  <si>
    <t>DS</t>
  </si>
  <si>
    <t>US</t>
  </si>
  <si>
    <t>DZA</t>
  </si>
  <si>
    <t>BP16</t>
  </si>
  <si>
    <t>BP8</t>
  </si>
  <si>
    <t>BP4</t>
  </si>
  <si>
    <t>BP2</t>
  </si>
  <si>
    <t>BP1</t>
  </si>
  <si>
    <t>LWD</t>
  </si>
  <si>
    <t>LWB</t>
  </si>
  <si>
    <t>OVL</t>
  </si>
  <si>
    <t>LWA</t>
  </si>
  <si>
    <t>SE</t>
  </si>
  <si>
    <t>EE</t>
  </si>
  <si>
    <t>DCL</t>
  </si>
  <si>
    <t>DOL</t>
  </si>
  <si>
    <t>CLF</t>
  </si>
  <si>
    <t>FB/NB</t>
  </si>
  <si>
    <t>FL</t>
  </si>
  <si>
    <t>CDL</t>
  </si>
  <si>
    <t>P6</t>
  </si>
  <si>
    <t>NUD</t>
  </si>
  <si>
    <t>DC</t>
  </si>
  <si>
    <t>DO</t>
  </si>
  <si>
    <t>i00</t>
  </si>
  <si>
    <t>i01</t>
  </si>
  <si>
    <t>i02</t>
  </si>
  <si>
    <t>i03</t>
  </si>
  <si>
    <t>i04</t>
  </si>
  <si>
    <t>i05</t>
  </si>
  <si>
    <t>i06</t>
  </si>
  <si>
    <t>i07</t>
  </si>
  <si>
    <t>i08</t>
  </si>
  <si>
    <t>i09</t>
  </si>
  <si>
    <t>i0A</t>
  </si>
  <si>
    <t>i0B</t>
  </si>
  <si>
    <t>i0C</t>
  </si>
  <si>
    <t>i0D</t>
  </si>
  <si>
    <t>TAD</t>
  </si>
  <si>
    <t>BAU</t>
  </si>
  <si>
    <t>BAD</t>
  </si>
  <si>
    <t>ACC</t>
  </si>
  <si>
    <t>RLM-1</t>
  </si>
  <si>
    <t>DLT-1</t>
  </si>
  <si>
    <t>DLM-1</t>
  </si>
  <si>
    <t>DLB-1</t>
  </si>
  <si>
    <t>07</t>
  </si>
  <si>
    <t>c0</t>
  </si>
  <si>
    <t>00</t>
  </si>
  <si>
    <t>84</t>
  </si>
  <si>
    <t>01</t>
  </si>
  <si>
    <t>00000000</t>
  </si>
  <si>
    <t>DEV</t>
  </si>
  <si>
    <t>HEX</t>
  </si>
  <si>
    <t>Binary</t>
  </si>
  <si>
    <t>Statusf - Digit 1</t>
  </si>
  <si>
    <t>Statusf - Digit 2</t>
  </si>
  <si>
    <t>Statusf - Digit 3</t>
  </si>
  <si>
    <t>Statusf - Digit 4</t>
  </si>
  <si>
    <t>Statusf - Digit 5</t>
  </si>
  <si>
    <t>Statusf - Digit 6</t>
  </si>
  <si>
    <t>Statusf - Digit 7</t>
  </si>
  <si>
    <t>Statusf - Digit 8</t>
  </si>
  <si>
    <t>Inspection Status</t>
  </si>
  <si>
    <t>Access</t>
  </si>
  <si>
    <t>CTI</t>
  </si>
  <si>
    <t>Not Used</t>
  </si>
  <si>
    <t>Not Auto</t>
  </si>
  <si>
    <t>Status F</t>
  </si>
  <si>
    <t>Drive Not Ready</t>
  </si>
  <si>
    <t>No SS input</t>
  </si>
  <si>
    <t>No HC Power</t>
  </si>
  <si>
    <t>No LC Power</t>
  </si>
  <si>
    <t>Binary Position Error</t>
  </si>
  <si>
    <t>Ins or Lock Bypass Error</t>
  </si>
  <si>
    <t>IO Error - Redundancy</t>
  </si>
  <si>
    <t>Gripper Error</t>
  </si>
  <si>
    <t>Door zone Fault</t>
  </si>
  <si>
    <t>Stop Sw Open</t>
  </si>
  <si>
    <t>No Automatic Doors</t>
  </si>
  <si>
    <t>Position Error</t>
  </si>
  <si>
    <t>No Gate or Lock</t>
  </si>
  <si>
    <t>No DCL</t>
  </si>
  <si>
    <t>No Potential "P" Input</t>
  </si>
  <si>
    <t>Gate or Door Lock Fault</t>
  </si>
  <si>
    <t>Safety Proc Comm Error</t>
  </si>
  <si>
    <t>Drive Comm Error</t>
  </si>
  <si>
    <t>Top of Car Comm Error</t>
  </si>
  <si>
    <t>Brake Lift Switch Error</t>
  </si>
  <si>
    <t>Waiting for Safe</t>
  </si>
  <si>
    <t>Annual Safety Test</t>
  </si>
  <si>
    <t>Too Many Faults Run</t>
  </si>
  <si>
    <t>Dynamic Braking Resistor Temp Error</t>
  </si>
  <si>
    <t>Brake Board CAN Error</t>
  </si>
  <si>
    <t>UL, DL, DZ Off at Floor</t>
  </si>
  <si>
    <t>GTS Input Off</t>
  </si>
  <si>
    <t>UT, UTS, DT, DTS Limit Error</t>
  </si>
  <si>
    <t>Leveling Fault</t>
  </si>
  <si>
    <t>UL or DL Fault</t>
  </si>
  <si>
    <t>Selector CAN Error</t>
  </si>
  <si>
    <t>Fire Fighter Stop Switch</t>
  </si>
  <si>
    <t>for statusf only input the 8 digit HEX</t>
  </si>
  <si>
    <t>78</t>
  </si>
  <si>
    <t>fd</t>
  </si>
  <si>
    <t>Com Device Status Fault</t>
  </si>
  <si>
    <r>
      <t xml:space="preserve">for values with </t>
    </r>
    <r>
      <rPr>
        <b/>
        <sz val="14"/>
        <color theme="1"/>
        <rFont val="Calibri"/>
        <family val="2"/>
        <scheme val="minor"/>
      </rPr>
      <t>3</t>
    </r>
    <r>
      <rPr>
        <sz val="14"/>
        <color theme="1"/>
        <rFont val="Calibri"/>
        <family val="2"/>
        <scheme val="minor"/>
      </rPr>
      <t xml:space="preserve"> digits input all 3 digits, for values with </t>
    </r>
    <r>
      <rPr>
        <b/>
        <sz val="14"/>
        <color theme="1"/>
        <rFont val="Calibri"/>
        <family val="2"/>
        <scheme val="minor"/>
      </rPr>
      <t>h</t>
    </r>
    <r>
      <rPr>
        <sz val="14"/>
        <color theme="1"/>
        <rFont val="Calibri"/>
        <family val="2"/>
        <scheme val="minor"/>
      </rPr>
      <t xml:space="preserve"> ignore the h altogther</t>
    </r>
  </si>
  <si>
    <t>Designed and built by Bogdan Rus (VP-Operations @ Element Elevators Inc.)</t>
  </si>
  <si>
    <t>GS</t>
  </si>
  <si>
    <t>Car Status based on I/O</t>
  </si>
  <si>
    <t>Front Door Status</t>
  </si>
  <si>
    <t xml:space="preserve">Middle Locks </t>
  </si>
  <si>
    <t>Top Locks</t>
  </si>
  <si>
    <t>Rear Door Status</t>
  </si>
  <si>
    <t>Car Safties</t>
  </si>
  <si>
    <t>Gate Switch</t>
  </si>
  <si>
    <t>Car Positioning</t>
  </si>
  <si>
    <t>Rear Hall Lock</t>
  </si>
  <si>
    <t>Rear Gate Swtich</t>
  </si>
  <si>
    <t>Rear DPM</t>
  </si>
  <si>
    <t>Bottom Lock</t>
  </si>
  <si>
    <t>Car Door Limit</t>
  </si>
  <si>
    <t>Troubleshooting</t>
  </si>
  <si>
    <t>RGS</t>
  </si>
  <si>
    <t>Edge Detector</t>
  </si>
  <si>
    <t>Governor</t>
  </si>
  <si>
    <t>Pit Switch</t>
  </si>
  <si>
    <t>Controller Stop Sw</t>
  </si>
  <si>
    <t>Ready to Run</t>
  </si>
  <si>
    <t>Rope Gripper</t>
  </si>
  <si>
    <t>In Car Stop</t>
  </si>
  <si>
    <t>Additional Status</t>
  </si>
  <si>
    <t>Current Status</t>
  </si>
  <si>
    <t>Automatic Doors</t>
  </si>
  <si>
    <t>Floor position</t>
  </si>
  <si>
    <t>Bit 1</t>
  </si>
  <si>
    <t>Bit 2</t>
  </si>
  <si>
    <t>Bit 4</t>
  </si>
  <si>
    <t>Bit 8</t>
  </si>
  <si>
    <t>Bit 16</t>
  </si>
  <si>
    <t>Floor Bin</t>
  </si>
  <si>
    <t>Floor Dec</t>
  </si>
  <si>
    <t>Going to</t>
  </si>
  <si>
    <t>Landing (TAPE)</t>
  </si>
  <si>
    <t>Fire Stop BP</t>
  </si>
  <si>
    <t>Top Normal</t>
  </si>
  <si>
    <t>Bottom Normal</t>
  </si>
  <si>
    <t>Top Terminal</t>
  </si>
  <si>
    <t>Bottom Terminal</t>
  </si>
  <si>
    <t>0f</t>
  </si>
  <si>
    <t>d5</t>
  </si>
  <si>
    <t xml:space="preserve">Drive ON </t>
  </si>
  <si>
    <t>Brake Relay</t>
  </si>
  <si>
    <t>MC Contactor</t>
  </si>
  <si>
    <t>Rear Edge</t>
  </si>
  <si>
    <t>Rear Close Limit</t>
  </si>
  <si>
    <t>UL Status</t>
  </si>
  <si>
    <t>DZ Status</t>
  </si>
  <si>
    <t>DL Status</t>
  </si>
  <si>
    <t>CMD N/A</t>
  </si>
  <si>
    <t>Fault Decoder for GAL III controllers v1.1</t>
  </si>
  <si>
    <t>c1</t>
  </si>
  <si>
    <t>71</t>
  </si>
  <si>
    <t>18</t>
  </si>
  <si>
    <t>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</si>
</sst>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NumberFormat="1"/>
    <xf numFmtId="0" fontId="0" fillId="3" borderId="0" xfId="0" applyFill="1" applyAlignment="1">
      <alignment horizontal="right"/>
    </xf>
    <xf numFmtId="0" fontId="1" fillId="0" borderId="0" xfId="0" applyFont="1"/>
    <xf numFmtId="49" fontId="0" fillId="4" borderId="1" xfId="0" applyNumberFormat="1" applyFill="1" applyBorder="1"/>
    <xf numFmtId="49" fontId="0" fillId="2" borderId="1" xfId="0" applyNumberFormat="1" applyFill="1" applyBorder="1" applyProtection="1"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49" fontId="0" fillId="0" borderId="4" xfId="0" applyNumberFormat="1" applyBorder="1" applyAlignment="1" applyProtection="1">
      <alignment horizontal="center"/>
      <protection locked="0"/>
    </xf>
    <xf numFmtId="49" fontId="0" fillId="2" borderId="12" xfId="0" applyNumberFormat="1" applyFill="1" applyBorder="1" applyProtection="1">
      <protection locked="0"/>
    </xf>
    <xf numFmtId="0" fontId="0" fillId="5" borderId="0" xfId="0" applyFill="1"/>
    <xf numFmtId="0" fontId="1" fillId="5" borderId="0" xfId="0" applyFont="1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5" borderId="3" xfId="0" applyFill="1" applyBorder="1" applyAlignment="1">
      <alignment horizontal="left"/>
    </xf>
    <xf numFmtId="0" fontId="0" fillId="5" borderId="8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0" fillId="5" borderId="9" xfId="0" applyFill="1" applyBorder="1" applyAlignment="1">
      <alignment horizontal="left"/>
    </xf>
    <xf numFmtId="0" fontId="0" fillId="5" borderId="10" xfId="0" applyFill="1" applyBorder="1" applyAlignment="1">
      <alignment horizontal="left"/>
    </xf>
    <xf numFmtId="0" fontId="0" fillId="5" borderId="11" xfId="0" applyFill="1" applyBorder="1" applyAlignment="1">
      <alignment horizontal="left"/>
    </xf>
    <xf numFmtId="0" fontId="1" fillId="5" borderId="0" xfId="0" applyFont="1" applyFill="1"/>
    <xf numFmtId="0" fontId="0" fillId="3" borderId="13" xfId="0" applyFill="1" applyBorder="1" applyAlignment="1">
      <alignment horizontal="right"/>
    </xf>
    <xf numFmtId="0" fontId="0" fillId="3" borderId="12" xfId="0" applyFill="1" applyBorder="1" applyAlignment="1">
      <alignment horizontal="right"/>
    </xf>
    <xf numFmtId="0" fontId="0" fillId="3" borderId="8" xfId="0" applyFill="1" applyBorder="1" applyAlignment="1">
      <alignment horizontal="right"/>
    </xf>
    <xf numFmtId="0" fontId="0" fillId="3" borderId="11" xfId="0" applyFill="1" applyBorder="1" applyAlignment="1">
      <alignment horizontal="right"/>
    </xf>
    <xf numFmtId="0" fontId="0" fillId="3" borderId="9" xfId="0" applyFill="1" applyBorder="1" applyAlignment="1">
      <alignment horizontal="right"/>
    </xf>
    <xf numFmtId="0" fontId="0" fillId="3" borderId="14" xfId="0" applyFill="1" applyBorder="1" applyAlignment="1">
      <alignment horizontal="right"/>
    </xf>
    <xf numFmtId="0" fontId="0" fillId="3" borderId="10" xfId="0" applyFill="1" applyBorder="1" applyAlignment="1">
      <alignment horizontal="right"/>
    </xf>
    <xf numFmtId="0" fontId="2" fillId="5" borderId="0" xfId="0" applyFont="1" applyFill="1"/>
    <xf numFmtId="0" fontId="1" fillId="5" borderId="7" xfId="0" applyFont="1" applyFill="1" applyBorder="1"/>
    <xf numFmtId="0" fontId="0" fillId="5" borderId="8" xfId="0" applyFill="1" applyBorder="1"/>
    <xf numFmtId="0" fontId="0" fillId="5" borderId="5" xfId="0" applyFill="1" applyBorder="1"/>
    <xf numFmtId="0" fontId="1" fillId="5" borderId="6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0" fillId="5" borderId="6" xfId="0" applyFont="1" applyFill="1" applyBorder="1" applyAlignment="1">
      <alignment horizontal="right"/>
    </xf>
    <xf numFmtId="0" fontId="0" fillId="0" borderId="0" xfId="0" applyNumberFormat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0" borderId="15" xfId="0" applyNumberFormat="1" applyBorder="1" applyAlignment="1">
      <alignment horizontal="center"/>
    </xf>
    <xf numFmtId="0" fontId="0" fillId="5" borderId="6" xfId="0" applyFill="1" applyBorder="1" applyAlignment="1">
      <alignment horizontal="right"/>
    </xf>
    <xf numFmtId="0" fontId="0" fillId="5" borderId="6" xfId="0" applyFill="1" applyBorder="1"/>
    <xf numFmtId="0" fontId="0" fillId="5" borderId="0" xfId="0" applyFill="1" applyBorder="1"/>
    <xf numFmtId="0" fontId="0" fillId="5" borderId="15" xfId="0" applyFill="1" applyBorder="1"/>
    <xf numFmtId="0" fontId="0" fillId="5" borderId="11" xfId="0" applyFill="1" applyBorder="1" applyAlignment="1">
      <alignment horizontal="right"/>
    </xf>
    <xf numFmtId="0" fontId="0" fillId="0" borderId="9" xfId="0" applyNumberFormat="1" applyBorder="1" applyAlignment="1">
      <alignment horizontal="center"/>
    </xf>
    <xf numFmtId="0" fontId="0" fillId="5" borderId="9" xfId="0" applyFill="1" applyBorder="1" applyAlignment="1">
      <alignment horizontal="right"/>
    </xf>
    <xf numFmtId="0" fontId="0" fillId="0" borderId="10" xfId="0" applyNumberFormat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ont="1" applyFill="1"/>
    <xf numFmtId="0" fontId="0" fillId="5" borderId="11" xfId="0" applyFill="1" applyBorder="1"/>
    <xf numFmtId="0" fontId="0" fillId="5" borderId="9" xfId="0" applyFill="1" applyBorder="1"/>
    <xf numFmtId="0" fontId="0" fillId="5" borderId="10" xfId="0" applyFill="1" applyBorder="1"/>
    <xf numFmtId="0" fontId="1" fillId="5" borderId="8" xfId="0" applyFont="1" applyFill="1" applyBorder="1"/>
    <xf numFmtId="0" fontId="4" fillId="0" borderId="0" xfId="0" applyFont="1"/>
    <xf numFmtId="0" fontId="0" fillId="5" borderId="8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49" fontId="0" fillId="5" borderId="0" xfId="0" applyNumberFormat="1" applyFill="1" applyBorder="1" applyAlignment="1">
      <alignment horizontal="center"/>
    </xf>
    <xf numFmtId="49" fontId="0" fillId="5" borderId="15" xfId="0" applyNumberFormat="1" applyFill="1" applyBorder="1" applyAlignment="1">
      <alignment horizontal="center"/>
    </xf>
    <xf numFmtId="0" fontId="0" fillId="5" borderId="7" xfId="0" applyFill="1" applyBorder="1"/>
  </cellXfs>
  <cellStyles count="1">
    <cellStyle name="Normal" xfId="0" builtinId="0"/>
  </cellStyles>
  <dxfs count="259"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theme="9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rgb="FFFF0000"/>
      </font>
    </dxf>
    <dxf>
      <font>
        <color theme="9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theme="9"/>
      </font>
    </dxf>
    <dxf>
      <font>
        <color rgb="FFFF0000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rgb="FFFF0000"/>
      </font>
    </dxf>
    <dxf>
      <font>
        <color theme="9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rgb="FFFF0000"/>
      </font>
    </dxf>
    <dxf>
      <font>
        <color theme="9"/>
      </font>
    </dxf>
    <dxf>
      <font>
        <color theme="9"/>
      </font>
    </dxf>
    <dxf>
      <font>
        <color rgb="FFFF0000"/>
      </font>
    </dxf>
    <dxf>
      <font>
        <color rgb="FFFF0000"/>
      </font>
    </dxf>
    <dxf>
      <font>
        <color theme="9"/>
      </font>
    </dxf>
    <dxf>
      <font>
        <color theme="9"/>
      </font>
    </dxf>
    <dxf>
      <font>
        <color rgb="FFFF0000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0000"/>
      <color rgb="FFFF4740"/>
      <color rgb="FFFF56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3C96B-050F-E648-AEFE-55A03E92E380}">
  <dimension ref="A1:AA162"/>
  <sheetViews>
    <sheetView tabSelected="1" zoomScale="125" zoomScaleNormal="120" workbookViewId="0">
      <selection activeCell="M7" sqref="M7"/>
    </sheetView>
  </sheetViews>
  <sheetFormatPr baseColWidth="10" defaultRowHeight="16" x14ac:dyDescent="0.2"/>
  <cols>
    <col min="1" max="1" width="2.6640625" customWidth="1"/>
    <col min="2" max="2" width="9.83203125" customWidth="1"/>
    <col min="3" max="3" width="5.83203125" customWidth="1"/>
    <col min="4" max="4" width="9.83203125" customWidth="1"/>
    <col min="5" max="5" width="5.83203125" customWidth="1"/>
    <col min="6" max="6" width="9.83203125" customWidth="1"/>
    <col min="7" max="7" width="5.83203125" customWidth="1"/>
    <col min="8" max="8" width="9.83203125" customWidth="1"/>
    <col min="9" max="9" width="5.83203125" customWidth="1"/>
    <col min="10" max="10" width="9.83203125" customWidth="1"/>
    <col min="11" max="11" width="5.83203125" customWidth="1"/>
    <col min="12" max="12" width="9.83203125" customWidth="1"/>
    <col min="13" max="13" width="5.83203125" customWidth="1"/>
    <col min="14" max="14" width="9.83203125" customWidth="1"/>
    <col min="15" max="15" width="5.83203125" customWidth="1"/>
    <col min="16" max="16" width="9.83203125" customWidth="1"/>
    <col min="17" max="17" width="5.83203125" customWidth="1"/>
    <col min="20" max="20" width="11.1640625" customWidth="1"/>
  </cols>
  <sheetData>
    <row r="1" spans="1:27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7" ht="19" x14ac:dyDescent="0.25">
      <c r="A2" s="10"/>
      <c r="B2" s="27" t="s">
        <v>289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7" ht="19" x14ac:dyDescent="0.25">
      <c r="A3" s="10"/>
      <c r="B3" s="27" t="s">
        <v>235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50" t="s">
        <v>236</v>
      </c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ht="19" x14ac:dyDescent="0.25">
      <c r="A4" s="10"/>
      <c r="B4" s="27" t="s">
        <v>231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1:27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 spans="1:27" x14ac:dyDescent="0.2">
      <c r="A6" s="10"/>
      <c r="B6" s="21" t="s">
        <v>1</v>
      </c>
      <c r="C6" s="5" t="s">
        <v>43</v>
      </c>
      <c r="D6" s="22" t="s">
        <v>0</v>
      </c>
      <c r="E6" s="5" t="s">
        <v>46</v>
      </c>
      <c r="F6" s="22" t="s">
        <v>2</v>
      </c>
      <c r="G6" s="5" t="s">
        <v>44</v>
      </c>
      <c r="H6" s="22" t="s">
        <v>3</v>
      </c>
      <c r="I6" s="5" t="s">
        <v>44</v>
      </c>
      <c r="J6" s="22" t="s">
        <v>4</v>
      </c>
      <c r="K6" s="5" t="s">
        <v>43</v>
      </c>
      <c r="L6" s="22" t="s">
        <v>6</v>
      </c>
      <c r="M6" s="5" t="s">
        <v>43</v>
      </c>
      <c r="N6" s="22" t="s">
        <v>5</v>
      </c>
      <c r="O6" s="5" t="s">
        <v>44</v>
      </c>
      <c r="P6" s="22" t="s">
        <v>7</v>
      </c>
      <c r="Q6" s="5" t="s">
        <v>44</v>
      </c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x14ac:dyDescent="0.2">
      <c r="A7" s="10"/>
      <c r="B7" s="20" t="s">
        <v>8</v>
      </c>
      <c r="C7" s="5" t="s">
        <v>44</v>
      </c>
      <c r="D7" s="2" t="s">
        <v>9</v>
      </c>
      <c r="E7" s="5" t="s">
        <v>44</v>
      </c>
      <c r="F7" s="2" t="s">
        <v>10</v>
      </c>
      <c r="G7" s="5" t="s">
        <v>44</v>
      </c>
      <c r="H7" s="2" t="s">
        <v>11</v>
      </c>
      <c r="I7" s="5" t="s">
        <v>44</v>
      </c>
      <c r="J7" s="2" t="s">
        <v>12</v>
      </c>
      <c r="K7" s="5" t="s">
        <v>43</v>
      </c>
      <c r="L7" s="2" t="s">
        <v>13</v>
      </c>
      <c r="M7" s="5" t="s">
        <v>44</v>
      </c>
      <c r="N7" s="2" t="s">
        <v>14</v>
      </c>
      <c r="O7" s="5" t="s">
        <v>43</v>
      </c>
      <c r="P7" s="2" t="s">
        <v>15</v>
      </c>
      <c r="Q7" s="5" t="s">
        <v>44</v>
      </c>
      <c r="R7" s="10"/>
      <c r="S7" s="10"/>
      <c r="T7" s="10"/>
      <c r="U7" s="10"/>
      <c r="V7" s="10"/>
      <c r="W7" s="10"/>
      <c r="X7" s="10"/>
      <c r="Y7" s="10"/>
      <c r="Z7" s="10"/>
      <c r="AA7" s="10"/>
    </row>
    <row r="8" spans="1:27" x14ac:dyDescent="0.2">
      <c r="A8" s="10"/>
      <c r="B8" s="20" t="s">
        <v>16</v>
      </c>
      <c r="C8" s="5" t="s">
        <v>44</v>
      </c>
      <c r="D8" s="2" t="s">
        <v>17</v>
      </c>
      <c r="E8" s="5" t="s">
        <v>44</v>
      </c>
      <c r="F8" s="2" t="s">
        <v>18</v>
      </c>
      <c r="G8" s="5" t="s">
        <v>43</v>
      </c>
      <c r="H8" s="2" t="s">
        <v>19</v>
      </c>
      <c r="I8" s="5" t="s">
        <v>44</v>
      </c>
      <c r="J8" s="2" t="s">
        <v>20</v>
      </c>
      <c r="K8" s="5" t="s">
        <v>45</v>
      </c>
      <c r="L8" s="2" t="s">
        <v>21</v>
      </c>
      <c r="M8" s="5" t="s">
        <v>178</v>
      </c>
      <c r="N8" s="2" t="s">
        <v>22</v>
      </c>
      <c r="O8" s="5" t="s">
        <v>44</v>
      </c>
      <c r="P8" s="2" t="s">
        <v>23</v>
      </c>
      <c r="Q8" s="5" t="s">
        <v>178</v>
      </c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7" x14ac:dyDescent="0.2">
      <c r="A9" s="10"/>
      <c r="B9" s="20" t="s">
        <v>24</v>
      </c>
      <c r="C9" s="4" t="s">
        <v>49</v>
      </c>
      <c r="D9" s="2" t="s">
        <v>25</v>
      </c>
      <c r="E9" s="4" t="s">
        <v>49</v>
      </c>
      <c r="F9" s="2" t="s">
        <v>26</v>
      </c>
      <c r="G9" s="4" t="s">
        <v>49</v>
      </c>
      <c r="H9" s="2" t="s">
        <v>27</v>
      </c>
      <c r="I9" s="5" t="s">
        <v>290</v>
      </c>
      <c r="J9" s="2" t="s">
        <v>28</v>
      </c>
      <c r="K9" s="5" t="s">
        <v>291</v>
      </c>
      <c r="L9" s="2" t="s">
        <v>29</v>
      </c>
      <c r="M9" s="5" t="s">
        <v>176</v>
      </c>
      <c r="N9" s="2" t="s">
        <v>30</v>
      </c>
      <c r="O9" s="5" t="s">
        <v>177</v>
      </c>
      <c r="P9" s="2" t="s">
        <v>31</v>
      </c>
      <c r="Q9" s="5" t="s">
        <v>178</v>
      </c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7" x14ac:dyDescent="0.2">
      <c r="A10" s="10"/>
      <c r="B10" s="20" t="s">
        <v>32</v>
      </c>
      <c r="C10" s="5" t="s">
        <v>292</v>
      </c>
      <c r="D10" s="2" t="s">
        <v>33</v>
      </c>
      <c r="E10" s="9" t="s">
        <v>232</v>
      </c>
      <c r="F10" s="2" t="s">
        <v>34</v>
      </c>
      <c r="G10" s="9" t="s">
        <v>179</v>
      </c>
      <c r="H10" s="23" t="s">
        <v>35</v>
      </c>
      <c r="I10" s="5" t="s">
        <v>293</v>
      </c>
      <c r="J10" s="24" t="s">
        <v>36</v>
      </c>
      <c r="K10" s="5" t="s">
        <v>278</v>
      </c>
      <c r="L10" s="24" t="s">
        <v>37</v>
      </c>
      <c r="M10" s="5" t="s">
        <v>279</v>
      </c>
      <c r="N10" s="24" t="s">
        <v>38</v>
      </c>
      <c r="O10" s="5" t="s">
        <v>178</v>
      </c>
      <c r="P10" s="24" t="s">
        <v>39</v>
      </c>
      <c r="Q10" s="5" t="s">
        <v>180</v>
      </c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1:27" x14ac:dyDescent="0.2">
      <c r="A11" s="10"/>
      <c r="B11" s="25" t="s">
        <v>40</v>
      </c>
      <c r="C11" s="5" t="s">
        <v>233</v>
      </c>
      <c r="D11" s="26" t="s">
        <v>42</v>
      </c>
      <c r="E11" s="6" t="s">
        <v>181</v>
      </c>
      <c r="F11" s="7"/>
      <c r="G11" s="8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1:27" x14ac:dyDescent="0.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1:27" x14ac:dyDescent="0.2">
      <c r="A13" s="10"/>
      <c r="B13" s="19" t="s">
        <v>41</v>
      </c>
      <c r="C13" s="12" t="str">
        <f>IF(Sheet2!H2="1","Drive Not Ready",IF(Sheet2!H3="1","No Safety String Input",IF(Sheet2!H4="1","No HC Power",IF(Sheet2!H5="1","No LC Power",IF(Sheet2!H6="1","Binary Position Error",IF(Sheet2!H7="1","INS or Lock Bypass Error",IF(Sheet2!H8="1","IO Error - Redundancy",IF(Sheet2!H9="1","Gripper Error",IF(Sheet2!H10="1","Dooz Zone Fault",IF(Sheet2!H11="1","Stop Switch Open",IF(Sheet2!H12="1","No Automatic Doors",IF(Sheet2!H13="1","Position Error",IF(Sheet2!H14="1","No Gate or Lock",IF(Sheet2!H15="1","No DCL",IF(Sheet2!H16="1","No Potential Input",IF(Sheet2!H17="1","Gate or Door Lock Fault",IF(Sheet2!H18="1","Safety Procesor Communciation Error",IF(Sheet2!H19="1","Drive Communication Error",IF(Sheet2!H20="1","Top of Car Communciation Error",IF(Sheet2!H21="1","Brake Lift Switch Error",IF(Sheet2!H22="1","Waiting for Safe",IF(Sheet2!H23="1","Annual Safety Test",IF(Sheet2!H24="1","Too many faults run",IF(Sheet2!H25="1","Dynamic Braking Resistor Temp Error",IF(Sheet2!H26="1","Brake Board CAN Error",IF(Sheet2!H27="1","UL, DL, DZ Off at Floor",IF(Sheet2!H28="1","GTS Input Off",IF(Sheet2!H29="1","UT, UTS, DT, DTS Limit Error",IF(Sheet2!H30="1","Leveling Fault",IF(Sheet2!H31="1","UL or DL Fault",IF(Sheet2!H32="1","Selector CAN Error",IF(Sheet2!H33="1","Fire Fighter Stop Switch","No Current Faults"))))))))))))))))))))))))))))))))</f>
        <v>No Current Faults</v>
      </c>
      <c r="D13" s="13"/>
      <c r="E13" s="13"/>
      <c r="F13" s="13"/>
      <c r="G13" s="13"/>
      <c r="H13" s="13"/>
      <c r="I13" s="13"/>
      <c r="J13" s="15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</row>
    <row r="14" spans="1:27" x14ac:dyDescent="0.2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1:27" x14ac:dyDescent="0.2">
      <c r="A15" s="10"/>
      <c r="B15" s="11" t="s">
        <v>47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 spans="1:27" x14ac:dyDescent="0.2">
      <c r="A16" s="10"/>
      <c r="B16" s="12" t="str">
        <f>CONCATENATE("Elevator was ",IF(C6="000","Out of Service",IF(C6="001","on Automatic",IF(C6="002","on Independent",IF(C6="003","on Load Weighing Bypass",IF(C6="004","on Attendant Operation",IF(C6="005","on Code Blue",IF(C6="006","on Fire Phase 2",IF(C6="007","on Emergency Power",IF(C6="008","on Earthquake Emergency",IF(C6="009","on Fire Phase 1 Main Egress",IF(C6="010","on Fire Phase 1 Alternate Egress",IF(C6="011","Homing",IF(C6="012","resetting going up",IF(C6="013","resetting going down",IF(C6="014","on Low Oil Operation",IF(C6="015","returning to lobby (RTL)",IF(C6="016","on Load Overload",IF(C6="017","on Massachusetts Medical Emergency",IF(C6="018","Calibrating load weigher",IF(C6="019","CS Elevator Off",IF(C6="020","HS Elevator Off",IF(C6="021","on Low Pressure Operation",IF(C6="022","on Hospital Service Operation",IF(C6="023","on VIP Service Operation",IF(C6="024","on Security Recall",IF(C6="025","on Sabbath Service",IF(C6="026","on TUG Service Operation","INVALID INPUT"))))))))))))))))))))))))))))</f>
        <v>Elevator was on Automatic</v>
      </c>
      <c r="C16" s="13"/>
      <c r="D16" s="13"/>
      <c r="E16" s="13"/>
      <c r="F16" s="13"/>
      <c r="G16" s="13"/>
      <c r="H16" s="14"/>
      <c r="I16" s="12" t="str">
        <f>IF(E6="001","RESET",IF(E6="002","INSPECTION",IF(AND(E6="003",K7="001",M6="001"),"Motion: Up Fast",IF(AND(E6="003",K7="000",M6="001",M33="0"),"Motion: Up Transition",IF(AND(E6="003",K7="000",M6="001",M33="1"),"Motion: Up Leveling",IF(AND(E6="003",K7="001",M6="002"),"Motion: Down Fast",IF(AND(E6="003",K7="000",M6="002",M32="0"),"Motion: Down Transition",IF(AND(E6="003",K7="000",M6="002",M32="1"),"Motion: Down Leveling",IF(E6="004","Motion: Soft Start",IF(E6="005","Motion: Constant Acceleration",IF(E6="006","Motion: Roll Over to Max Velocity",IF(E6="007","Motion: Constant Velocity",IF(E6="008","Motion: Roll Over to Deceleration",IF(E6="009","Motion: Constant Deceleration",IF(E6="010","Motion: Targeting Floor",IF(E6="011","Motion: Emergency Slowdown",IF(E6="012","Safety String",IF(E6="013","Turned Off",IF(E6="014","Parked",IF(E6="015","Waiting Assignment",IF(E6="016","Doors Operation",IF(E6="017","Elevator Stalled (or Low Oil for Hydro)",IF(E6="018","Elevator Restting Hydro Jack",IF(E6="019","Elevator on Low Oil Pressure Mode",IF(E6="020","Elevator is in Automatic Learn Hoistway","INVALID INPUT")))))))))))))))))))))))))</f>
        <v>Motion: Constant Acceleration</v>
      </c>
      <c r="J16" s="13"/>
      <c r="K16" s="13"/>
      <c r="L16" s="13"/>
      <c r="M16" s="13"/>
      <c r="N16" s="13"/>
      <c r="O16" s="15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1:27" x14ac:dyDescent="0.2">
      <c r="A17" s="10"/>
      <c r="B17" s="12" t="str">
        <f>CONCATENATE("Front Door: ",IF(G6="000","Closed",IF(G6="001","Opening",IF(G6="002","Dweling",IF(G6="003","Closing",IF(G6="004","Nudging","INVALID INPUT"))))))</f>
        <v>Front Door: Closed</v>
      </c>
      <c r="C17" s="13"/>
      <c r="D17" s="15"/>
      <c r="E17" s="12" t="str">
        <f>CONCATENATE("Rear Door: ",IF(I6="000","Closed",IF(I6="001","Opening",IF(I6="002","Dweling",IF(I6="003","Closing",IF(I6="004","Nudging","INVALID INPUT"))))))</f>
        <v>Rear Door: Closed</v>
      </c>
      <c r="F17" s="13"/>
      <c r="G17" s="15"/>
      <c r="H17" s="12" t="str">
        <f>CONCATENATE("Prefered Direction: ",IF(K6="000","None",IF(K6="001","Up",IF(K6="002","Down","INVALID INPUT"))))</f>
        <v>Prefered Direction: Up</v>
      </c>
      <c r="I17" s="16"/>
      <c r="J17" s="16"/>
      <c r="K17" s="16"/>
      <c r="L17" s="17"/>
      <c r="M17" s="18" t="str">
        <f>CONCATENATE("Car Direction: ",IF(M6="000","None",IF(M6="001","Up",IF(M6="002","Down","INVALID INPUT"))))</f>
        <v>Car Direction: Up</v>
      </c>
      <c r="N17" s="16"/>
      <c r="O17" s="17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 x14ac:dyDescent="0.2">
      <c r="A18" s="10"/>
      <c r="B18" s="12" t="str">
        <f>CONCATENATE("Car is: ",IF(K7="000","Not in High Speed",IF(K7="001","in High Speed","INVALID INPUT")))</f>
        <v>Car is: in High Speed</v>
      </c>
      <c r="C18" s="13"/>
      <c r="D18" s="15"/>
      <c r="E18" s="12" t="str">
        <f>IF(M7="000","Not Valid Start",IF(M7="001","Start of Run","INVALID INPUT"))</f>
        <v>Not Valid Start</v>
      </c>
      <c r="F18" s="13"/>
      <c r="G18" s="15"/>
      <c r="H18" s="12" t="str">
        <f>CONCATENATE("Direction of Calls: ",IF(O7="000","No Calls",IF(O7="001","Above Call",IF(O7="002","Below Call",IF(O7="003","Above and Below Calls","Invalid Input")))))</f>
        <v>Direction of Calls: Above Call</v>
      </c>
      <c r="I18" s="13"/>
      <c r="J18" s="13"/>
      <c r="K18" s="13"/>
      <c r="L18" s="15"/>
      <c r="M18" s="12" t="str">
        <f>IF(Q7="000","No Emergency Stop",IF(Q7="001","Emergency Stop","INVALID INPUT"))</f>
        <v>No Emergency Stop</v>
      </c>
      <c r="N18" s="13"/>
      <c r="O18" s="15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x14ac:dyDescent="0.2">
      <c r="A19" s="10"/>
      <c r="B19" s="12" t="str">
        <f>IF(C8="000","N/A",IF(C8="001","Car needs to stop at next floor","INVALID INPUT"))</f>
        <v>N/A</v>
      </c>
      <c r="C19" s="13"/>
      <c r="D19" s="13"/>
      <c r="E19" s="15"/>
      <c r="F19" s="12" t="str">
        <f>IF(E8="000","Not Releveling",IF(E8="001","Car is re-leveling","INVALID INPUT"))</f>
        <v>Not Releveling</v>
      </c>
      <c r="G19" s="13"/>
      <c r="H19" s="15"/>
      <c r="I19" s="12" t="str">
        <f>IF(G8="000","",IF(G8="001","Step to the next position (non-distance feedback)","INVALID INPUT"))</f>
        <v>Step to the next position (non-distance feedback)</v>
      </c>
      <c r="J19" s="13"/>
      <c r="K19" s="13"/>
      <c r="L19" s="13"/>
      <c r="M19" s="13"/>
      <c r="N19" s="13"/>
      <c r="O19" s="15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</row>
    <row r="20" spans="1:27" x14ac:dyDescent="0.2">
      <c r="A20" s="10"/>
      <c r="B20" s="12" t="str">
        <f>IF(I8="000","No Pre-Open Door",IF(I8="001","Pre-Open Doors","INVALID INPUT"))</f>
        <v>No Pre-Open Door</v>
      </c>
      <c r="C20" s="13"/>
      <c r="D20" s="15"/>
      <c r="E20" s="12" t="str">
        <f>CONCATENATE("Next landing stopping at: ",K8)</f>
        <v>Next landing stopping at: 003</v>
      </c>
      <c r="F20" s="13"/>
      <c r="G20" s="13"/>
      <c r="H20" s="15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1:27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 x14ac:dyDescent="0.2">
      <c r="A22" s="10"/>
      <c r="B22" s="19" t="s">
        <v>193</v>
      </c>
      <c r="C22" s="10"/>
      <c r="D22" s="10"/>
      <c r="E22" s="10"/>
      <c r="F22" s="10"/>
      <c r="G22" s="10"/>
      <c r="H22" s="19" t="s">
        <v>234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spans="1:27" x14ac:dyDescent="0.2">
      <c r="A23" s="10"/>
      <c r="B23" s="12" t="str">
        <f>IF(Sheet2!B16="00000000","Not on Inspection",IF(Sheet2!E2="1","In Car Inspection",IF(Sheet2!E3="1","On Access",IF(Sheet2!E4="1","On Machine Room Inspection",IF(Sheet2!E5="1","On Car Top Inspection",IF(Sheet2!E7="1","Not Auto","INVALID INPUT"))))))</f>
        <v>Not on Inspection</v>
      </c>
      <c r="C23" s="13"/>
      <c r="D23" s="13"/>
      <c r="E23" s="13"/>
      <c r="F23" s="13"/>
      <c r="G23" s="15"/>
      <c r="H23" s="12" t="str">
        <f>IF(Q8="00","No Com Issues",IF(Q8="01","CAN Start Index",IF(Q8="02","Encoded Tape Selector",IF(Q8="03","Emergency Brake",IF(Q8="04","Brake Board",IF(Q8="05","Safety Processor Board",IF(Q8="06","Selector Board",IF(Q8="07","Front Door Board",IF(Q8="08","Rear Door Board",IF(Q8="09","Load Weigher",IF(Q8="0A","Voltage Sensor",IF(Q8="0B","Serial I/O Expansion Board Address 1",IF(Q8="0C","Serial I/O Expansion Board Address 2",IF(Q8="0D","Serial I/O Expansion Board Address 3",IF(Q8="0E","Serial I/O Expansion Board Address 4",IF(Q8="0F","Serial I/O Expansion Board Address 5",IF(Q8="10","Serial I/O Expansion Board Address 6",IF(Q8="11","Serial I/O Expansion Board Address 7",IF(Q8="12","Serial I/O Expansion Board Address 8",IF(Q8="13","Serial I/O Top of Car Board Address 9",IF(Q8="14","Serial PI and Lantern (Global address for all pi and lantern devices",IF(Q8="15","Serial I/O Expansion Board Address 10 (Uses special address) or 11 ? GAL might have made a mistake",IF(Q8="16","Serial I/O Expansion Board Address 12",IF(Q8="17","Serial I/O Expansion Board Address 13",IF(Q8="18","Serial I/O Expansion Board Address 14",IF(Q8="19","Serial I/O Expansion Board Address 15",IF(Q8="1A","Serial I/O Expansion Board Address 16",IF(Q8="1B","Serial I/O Expansion Board Address 17",IF(Q8="1C","Serial I/O Expansion Board Address 18",IF(Q8="1D","Serial I/O Expansion Board Address 19",IF(Q8="1E","Serial I/O Expansion Board Address 20",IF(Q8="1F","Serial I/O Expansion Board Address 21",IF(Q8="20","Serial I/O Expansion Board Address 22",IF(Q8="29","Special address for SEB 10 Since it Confilts with pi/lantern board 20",IF(Q8="32","ID to swap to standard address for pi/lantern board 20",IF(Q8="ff","Global can address","INVALID INPUT"))))))))))))))))))))))))))))))))))))</f>
        <v>No Com Issues</v>
      </c>
      <c r="I23" s="13"/>
      <c r="J23" s="13"/>
      <c r="K23" s="13"/>
      <c r="L23" s="13"/>
      <c r="M23" s="13"/>
      <c r="N23" s="13"/>
      <c r="O23" s="15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</row>
    <row r="24" spans="1:27" x14ac:dyDescent="0.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</row>
    <row r="25" spans="1:27" x14ac:dyDescent="0.2">
      <c r="A25" s="10"/>
      <c r="B25" s="19" t="s">
        <v>48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</row>
    <row r="26" spans="1:27" x14ac:dyDescent="0.2">
      <c r="A26" s="10"/>
      <c r="B26" s="12" t="str">
        <f>CONCATENATE("Emergency Power Status: ",IF(O6="000","Not on Emergency Power",IF(O6="001","On Emergency Power Waiting",IF(O6="002","On Emergency Power Waiting with Doors Open",IF(O6="003","On Emergency Power Returning Home",IF(O6="004","On EM. Power Returned Home with Doors Open",IF(O6="005","On EM. Power Returned Home with Doors Closed",IF(O6="006","On Emergency Power and Selected to Run",IF(O6="007","On Emergency Power Waiting with Doors Closed","INVALID INPUT")))))))))</f>
        <v>Emergency Power Status: Not on Emergency Power</v>
      </c>
      <c r="C26" s="13"/>
      <c r="D26" s="13"/>
      <c r="E26" s="13"/>
      <c r="F26" s="13"/>
      <c r="G26" s="13"/>
      <c r="H26" s="13"/>
      <c r="I26" s="13"/>
      <c r="J26" s="13"/>
      <c r="K26" s="15"/>
      <c r="L26" s="12" t="str">
        <f>CONCATENATE("Medical Emergency Status: ",IF(Q6="000","No Medical Emergency Service",IF(Q6="001","Recall Car to Medical Emergency Recall Floor",IF(Q6="002","At Return Floor with Doors Open (Return Complete)",IF(Q6="004","On EMS Car Call Service",IF(Q6="005","On EMS Car Hold Service (Key off but not at the recall floor)","INVALID INPUT"))))))</f>
        <v>Medical Emergency Status: No Medical Emergency Service</v>
      </c>
      <c r="M26" s="13"/>
      <c r="N26" s="13"/>
      <c r="O26" s="13"/>
      <c r="P26" s="13"/>
      <c r="Q26" s="13"/>
      <c r="R26" s="13"/>
      <c r="S26" s="13"/>
      <c r="T26" s="15"/>
      <c r="U26" s="10"/>
      <c r="V26" s="10"/>
      <c r="W26" s="10"/>
      <c r="X26" s="10"/>
      <c r="Y26" s="10"/>
      <c r="Z26" s="10"/>
      <c r="AA26" s="10"/>
    </row>
    <row r="27" spans="1:27" x14ac:dyDescent="0.2">
      <c r="A27" s="10"/>
      <c r="B27" s="12" t="str">
        <f>CONCATENATE("Code Blue Status: ",IF(C7="000","No Code Blue",IF(C7="001","Recall to Emergency Floor",IF(C7="002","At Code Blue Floor",IF(C7="003","At Code Blue Floor with Doors Open",IF(C7="004","Finished Code Blue","INVALID INPUT"))))))</f>
        <v>Code Blue Status: No Code Blue</v>
      </c>
      <c r="C27" s="13"/>
      <c r="D27" s="13"/>
      <c r="E27" s="13"/>
      <c r="F27" s="13"/>
      <c r="G27" s="13"/>
      <c r="H27" s="13"/>
      <c r="I27" s="13"/>
      <c r="J27" s="13"/>
      <c r="K27" s="15"/>
      <c r="L27" s="12" t="str">
        <f>CONCATENATE("Earthquake Status: ",IF(E7="000","Not on Earthquake Opeation",IF(E7="001","Earthquake Sensor Activated",IF(E7="002","Counterweight Derailment Sensor Activated",IF(E7="003","Recover Away From the Counterweight",IF(E7="004","Stopped at a Floor","INVALID INPUT"))))))</f>
        <v>Earthquake Status: Not on Earthquake Opeation</v>
      </c>
      <c r="M27" s="13"/>
      <c r="N27" s="13"/>
      <c r="O27" s="13"/>
      <c r="P27" s="13"/>
      <c r="Q27" s="13"/>
      <c r="R27" s="13"/>
      <c r="S27" s="13"/>
      <c r="T27" s="15"/>
      <c r="U27" s="10"/>
      <c r="V27" s="10"/>
      <c r="W27" s="10"/>
      <c r="X27" s="10"/>
      <c r="Y27" s="10"/>
      <c r="Z27" s="10"/>
      <c r="AA27" s="10"/>
    </row>
    <row r="28" spans="1:27" x14ac:dyDescent="0.2">
      <c r="A28" s="10"/>
      <c r="B28" s="12" t="str">
        <f>CONCATENATE("Fire Mode: ",IF(G7="000","Not on Fire Service",IF(G7="001","Phase 1 Main Egress Return",IF(G7="002","Phase 1 Alternate Egress Return",IF(G7="003","Phase 1 Completed",IF(G7="004","Phase 2 Door Hold",IF(G7="005","Phase 2 Constant Pressure Door Open",IF(G7="006","Phase 2 Constant Pressure Door Close",IF(G7="007","Phase 2 Door Hold","INVALID INPUT")))))))))</f>
        <v>Fire Mode: Not on Fire Service</v>
      </c>
      <c r="C28" s="13"/>
      <c r="D28" s="13"/>
      <c r="E28" s="13"/>
      <c r="F28" s="13"/>
      <c r="G28" s="13"/>
      <c r="H28" s="15"/>
      <c r="I28" s="12" t="str">
        <f>CONCATENATE("Rear Fire Mode: ",IF(I7="000","Not on Fire Service",IF(I7="001","Phase 1 Main Rear Egress Return",IF(I7="002","Phase 1 Alternate Rear Egress Return",IF(I7="003","Phase 1 Completed",IF(I7="004","Phase 2 Rear Door Hold",IF(I7="005","Phase 2 Constant Pressure Rear Door Open",IF(I7="006","Phase 2 Constant Pressure Rear Door Close",IF(I7="007","Phase 2 Rear Door Hold","INVALID INPUT")))))))))</f>
        <v>Rear Fire Mode: Not on Fire Service</v>
      </c>
      <c r="J28" s="13"/>
      <c r="K28" s="13"/>
      <c r="L28" s="13"/>
      <c r="M28" s="13"/>
      <c r="N28" s="13"/>
      <c r="O28" s="13"/>
      <c r="P28" s="15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 spans="1:27" x14ac:dyDescent="0.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7" x14ac:dyDescent="0.2">
      <c r="A30" s="10"/>
      <c r="B30" s="19" t="s">
        <v>50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x14ac:dyDescent="0.2">
      <c r="A31" s="10"/>
      <c r="B31" s="46" t="s">
        <v>27</v>
      </c>
      <c r="C31" s="47"/>
      <c r="D31" s="47" t="s">
        <v>28</v>
      </c>
      <c r="E31" s="47"/>
      <c r="F31" s="47" t="s">
        <v>29</v>
      </c>
      <c r="G31" s="47"/>
      <c r="H31" s="47" t="s">
        <v>30</v>
      </c>
      <c r="I31" s="47"/>
      <c r="J31" s="47" t="s">
        <v>31</v>
      </c>
      <c r="K31" s="47"/>
      <c r="L31" s="47" t="s">
        <v>32</v>
      </c>
      <c r="M31" s="47"/>
      <c r="N31" s="47" t="s">
        <v>33</v>
      </c>
      <c r="O31" s="48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27" x14ac:dyDescent="0.2">
      <c r="A32" s="10"/>
      <c r="B32" s="34" t="s">
        <v>83</v>
      </c>
      <c r="C32" s="35" t="str">
        <f>LEFT(Sheet2!B1,1)</f>
        <v>1</v>
      </c>
      <c r="D32" s="36" t="s">
        <v>79</v>
      </c>
      <c r="E32" s="35" t="str">
        <f>LEFT(Sheet2!B2,1)</f>
        <v>0</v>
      </c>
      <c r="F32" s="36" t="s">
        <v>168</v>
      </c>
      <c r="G32" s="35" t="str">
        <f>LEFT(Sheet2!B3,1)</f>
        <v>0</v>
      </c>
      <c r="H32" s="36" t="s">
        <v>87</v>
      </c>
      <c r="I32" s="35" t="str">
        <f>LEFT(Sheet2!B4,1)</f>
        <v>1</v>
      </c>
      <c r="J32" s="36" t="s">
        <v>63</v>
      </c>
      <c r="K32" s="35" t="str">
        <f>LEFT(Sheet2!B5,1)</f>
        <v>0</v>
      </c>
      <c r="L32" s="36" t="s">
        <v>71</v>
      </c>
      <c r="M32" s="35" t="str">
        <f>LEFT(Sheet2!B6,1)</f>
        <v>0</v>
      </c>
      <c r="N32" s="36" t="s">
        <v>92</v>
      </c>
      <c r="O32" s="37" t="str">
        <f>LEFT(Sheet2!B7,1)</f>
        <v>0</v>
      </c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</row>
    <row r="33" spans="1:27" x14ac:dyDescent="0.2">
      <c r="A33" s="10"/>
      <c r="B33" s="38" t="s">
        <v>84</v>
      </c>
      <c r="C33" s="35" t="str">
        <f>MID(Sheet2!B1,2,1)</f>
        <v>1</v>
      </c>
      <c r="D33" s="36" t="s">
        <v>80</v>
      </c>
      <c r="E33" s="35" t="str">
        <f>MID(Sheet2!B2,2,1)</f>
        <v>1</v>
      </c>
      <c r="F33" s="36" t="s">
        <v>169</v>
      </c>
      <c r="G33" s="35" t="str">
        <f>MID(Sheet2!B3,2,1)</f>
        <v>0</v>
      </c>
      <c r="H33" s="36" t="s">
        <v>88</v>
      </c>
      <c r="I33" s="35" t="str">
        <f>MID(Sheet2!B4,2,1)</f>
        <v>1</v>
      </c>
      <c r="J33" s="36" t="s">
        <v>64</v>
      </c>
      <c r="K33" s="35" t="str">
        <f>MID(Sheet2!B5,2,1)</f>
        <v>0</v>
      </c>
      <c r="L33" s="36" t="s">
        <v>72</v>
      </c>
      <c r="M33" s="35" t="str">
        <f>MID(Sheet2!B6,2,1)</f>
        <v>0</v>
      </c>
      <c r="N33" s="36" t="s">
        <v>93</v>
      </c>
      <c r="O33" s="37" t="str">
        <f>MID(Sheet2!B7,2,1)</f>
        <v>1</v>
      </c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</row>
    <row r="34" spans="1:27" x14ac:dyDescent="0.2">
      <c r="A34" s="10"/>
      <c r="B34" s="38" t="s">
        <v>51</v>
      </c>
      <c r="C34" s="35" t="str">
        <f>MID(Sheet2!B1,3,1)</f>
        <v>0</v>
      </c>
      <c r="D34" s="36" t="s">
        <v>81</v>
      </c>
      <c r="E34" s="35" t="str">
        <f>MID(Sheet2!B2,3,1)</f>
        <v>1</v>
      </c>
      <c r="F34" s="36" t="s">
        <v>170</v>
      </c>
      <c r="G34" s="35" t="str">
        <f>MID(Sheet2!B3,3,1)</f>
        <v>0</v>
      </c>
      <c r="H34" s="36" t="s">
        <v>89</v>
      </c>
      <c r="I34" s="35" t="str">
        <f>MID(Sheet2!B4,3,1)</f>
        <v>0</v>
      </c>
      <c r="J34" s="36" t="s">
        <v>65</v>
      </c>
      <c r="K34" s="35" t="str">
        <f>MID(Sheet2!B5,3,1)</f>
        <v>0</v>
      </c>
      <c r="L34" s="36" t="s">
        <v>73</v>
      </c>
      <c r="M34" s="35" t="str">
        <f>MID(Sheet2!B6,3,1)</f>
        <v>0</v>
      </c>
      <c r="N34" s="36" t="s">
        <v>94</v>
      </c>
      <c r="O34" s="37" t="str">
        <f>MID(Sheet2!B7,3,1)</f>
        <v>1</v>
      </c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27" x14ac:dyDescent="0.2">
      <c r="A35" s="10"/>
      <c r="B35" s="38" t="s">
        <v>52</v>
      </c>
      <c r="C35" s="35" t="str">
        <f>MID(Sheet2!B1,4,1)</f>
        <v>0</v>
      </c>
      <c r="D35" s="36" t="s">
        <v>82</v>
      </c>
      <c r="E35" s="35" t="str">
        <f>MID(Sheet2!B2,4,1)</f>
        <v>1</v>
      </c>
      <c r="F35" s="36" t="s">
        <v>171</v>
      </c>
      <c r="G35" s="35" t="str">
        <f>MID(Sheet2!B3,4,1)</f>
        <v>0</v>
      </c>
      <c r="H35" s="36" t="s">
        <v>90</v>
      </c>
      <c r="I35" s="35" t="str">
        <f>MID(Sheet2!B4,4,1)</f>
        <v>0</v>
      </c>
      <c r="J35" s="36" t="s">
        <v>66</v>
      </c>
      <c r="K35" s="35" t="str">
        <f>MID(Sheet2!B5,4,1)</f>
        <v>0</v>
      </c>
      <c r="L35" s="36" t="s">
        <v>74</v>
      </c>
      <c r="M35" s="35" t="str">
        <f>MID(Sheet2!B6,4,1)</f>
        <v>1</v>
      </c>
      <c r="N35" s="36" t="s">
        <v>237</v>
      </c>
      <c r="O35" s="37" t="str">
        <f>MID(Sheet2!B7,4,1)</f>
        <v>1</v>
      </c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 x14ac:dyDescent="0.2">
      <c r="A36" s="10"/>
      <c r="B36" s="38" t="s">
        <v>53</v>
      </c>
      <c r="C36" s="35" t="str">
        <f>MID(Sheet2!B1,5,1)</f>
        <v>0</v>
      </c>
      <c r="D36" s="36" t="s">
        <v>55</v>
      </c>
      <c r="E36" s="35" t="str">
        <f>MID(Sheet2!B2,5,1)</f>
        <v>0</v>
      </c>
      <c r="F36" s="36" t="s">
        <v>172</v>
      </c>
      <c r="G36" s="35" t="str">
        <f>MID(Sheet2!B3,5,1)</f>
        <v>0</v>
      </c>
      <c r="H36" s="36" t="s">
        <v>60</v>
      </c>
      <c r="I36" s="35" t="str">
        <f>MID(Sheet2!B4,5,1)</f>
        <v>0</v>
      </c>
      <c r="J36" s="36" t="s">
        <v>67</v>
      </c>
      <c r="K36" s="35" t="str">
        <f>MID(Sheet2!B5,5,1)</f>
        <v>0</v>
      </c>
      <c r="L36" s="36" t="s">
        <v>75</v>
      </c>
      <c r="M36" s="35" t="str">
        <f>MID(Sheet2!B6,5,1)</f>
        <v>1</v>
      </c>
      <c r="N36" s="36" t="s">
        <v>95</v>
      </c>
      <c r="O36" s="37" t="str">
        <f>MID(Sheet2!B7,5,1)</f>
        <v>1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1:27" x14ac:dyDescent="0.2">
      <c r="A37" s="10"/>
      <c r="B37" s="38" t="s">
        <v>54</v>
      </c>
      <c r="C37" s="35" t="str">
        <f>MID(Sheet2!B1,6,1)</f>
        <v>0</v>
      </c>
      <c r="D37" s="36" t="s">
        <v>56</v>
      </c>
      <c r="E37" s="35" t="str">
        <f>MID(Sheet2!B2,6,1)</f>
        <v>0</v>
      </c>
      <c r="F37" s="36" t="s">
        <v>173</v>
      </c>
      <c r="G37" s="35" t="str">
        <f>MID(Sheet2!B3,6,1)</f>
        <v>1</v>
      </c>
      <c r="H37" s="36" t="s">
        <v>91</v>
      </c>
      <c r="I37" s="35" t="str">
        <f>MID(Sheet2!B4,6,1)</f>
        <v>0</v>
      </c>
      <c r="J37" s="36" t="s">
        <v>68</v>
      </c>
      <c r="K37" s="35" t="str">
        <f>MID(Sheet2!B5,6,1)</f>
        <v>0</v>
      </c>
      <c r="L37" s="36" t="s">
        <v>76</v>
      </c>
      <c r="M37" s="35" t="str">
        <f>MID(Sheet2!B6,6,1)</f>
        <v>0</v>
      </c>
      <c r="N37" s="36" t="s">
        <v>96</v>
      </c>
      <c r="O37" s="37" t="str">
        <f>MID(Sheet2!B7,6,1)</f>
        <v>0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1:27" x14ac:dyDescent="0.2">
      <c r="A38" s="10"/>
      <c r="B38" s="38" t="s">
        <v>85</v>
      </c>
      <c r="C38" s="35" t="str">
        <f>MID(Sheet2!B1,7,1)</f>
        <v>0</v>
      </c>
      <c r="D38" s="36" t="s">
        <v>57</v>
      </c>
      <c r="E38" s="35" t="str">
        <f>MID(Sheet2!B2,7,1)</f>
        <v>0</v>
      </c>
      <c r="F38" s="36" t="s">
        <v>174</v>
      </c>
      <c r="G38" s="35" t="str">
        <f>MID(Sheet2!B3,7,1)</f>
        <v>1</v>
      </c>
      <c r="H38" s="36" t="s">
        <v>61</v>
      </c>
      <c r="I38" s="35" t="str">
        <f>MID(Sheet2!B4,7,1)</f>
        <v>0</v>
      </c>
      <c r="J38" s="36" t="s">
        <v>69</v>
      </c>
      <c r="K38" s="35" t="str">
        <f>MID(Sheet2!B5,7,1)</f>
        <v>0</v>
      </c>
      <c r="L38" s="36" t="s">
        <v>77</v>
      </c>
      <c r="M38" s="35" t="str">
        <f>MID(Sheet2!B6,7,1)</f>
        <v>0</v>
      </c>
      <c r="N38" s="36" t="s">
        <v>97</v>
      </c>
      <c r="O38" s="37" t="str">
        <f>MID(Sheet2!B7,7,1)</f>
        <v>0</v>
      </c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1:27" x14ac:dyDescent="0.2">
      <c r="A39" s="10"/>
      <c r="B39" s="38" t="s">
        <v>86</v>
      </c>
      <c r="C39" s="35" t="str">
        <f>RIGHT(Sheet2!B1,1)</f>
        <v>1</v>
      </c>
      <c r="D39" s="36" t="s">
        <v>58</v>
      </c>
      <c r="E39" s="35" t="str">
        <f>RIGHT(Sheet2!B2,1)</f>
        <v>1</v>
      </c>
      <c r="F39" s="36" t="s">
        <v>175</v>
      </c>
      <c r="G39" s="35" t="str">
        <f>RIGHT(Sheet2!B3,1)</f>
        <v>1</v>
      </c>
      <c r="H39" s="36" t="s">
        <v>62</v>
      </c>
      <c r="I39" s="35" t="str">
        <f>RIGHT(Sheet2!B4,1)</f>
        <v>0</v>
      </c>
      <c r="J39" s="36" t="s">
        <v>70</v>
      </c>
      <c r="K39" s="35" t="str">
        <f>RIGHT(Sheet2!B5,1)</f>
        <v>0</v>
      </c>
      <c r="L39" s="36" t="s">
        <v>78</v>
      </c>
      <c r="M39" s="35" t="str">
        <f>RIGHT(Sheet2!B6,1)</f>
        <v>0</v>
      </c>
      <c r="N39" s="36" t="s">
        <v>98</v>
      </c>
      <c r="O39" s="37" t="str">
        <f>RIGHT(Sheet2!B7,1)</f>
        <v>0</v>
      </c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1:27" x14ac:dyDescent="0.2">
      <c r="A40" s="10"/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1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1:27" x14ac:dyDescent="0.2">
      <c r="A41" s="10"/>
      <c r="B41" s="31" t="s">
        <v>34</v>
      </c>
      <c r="C41" s="32"/>
      <c r="D41" s="32" t="s">
        <v>35</v>
      </c>
      <c r="E41" s="32"/>
      <c r="F41" s="32" t="s">
        <v>36</v>
      </c>
      <c r="G41" s="32"/>
      <c r="H41" s="32" t="s">
        <v>37</v>
      </c>
      <c r="I41" s="32"/>
      <c r="J41" s="32" t="s">
        <v>38</v>
      </c>
      <c r="K41" s="32"/>
      <c r="L41" s="32" t="s">
        <v>39</v>
      </c>
      <c r="M41" s="32"/>
      <c r="N41" s="32" t="s">
        <v>40</v>
      </c>
      <c r="O41" s="33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1:27" x14ac:dyDescent="0.2">
      <c r="A42" s="10"/>
      <c r="B42" s="38" t="s">
        <v>99</v>
      </c>
      <c r="C42" s="35" t="str">
        <f>LEFT(Sheet2!B8,1)</f>
        <v>1</v>
      </c>
      <c r="D42" s="36" t="s">
        <v>107</v>
      </c>
      <c r="E42" s="35" t="str">
        <f>LEFT(Sheet2!B9,1)</f>
        <v>1</v>
      </c>
      <c r="F42" s="36" t="s">
        <v>115</v>
      </c>
      <c r="G42" s="35" t="str">
        <f>LEFT(Sheet2!B10,1)</f>
        <v>0</v>
      </c>
      <c r="H42" s="36" t="s">
        <v>122</v>
      </c>
      <c r="I42" s="35" t="str">
        <f>LEFT(Sheet2!B11,1)</f>
        <v>1</v>
      </c>
      <c r="J42" s="36" t="s">
        <v>130</v>
      </c>
      <c r="K42" s="35" t="str">
        <f>LEFT(Sheet2!B12,1)</f>
        <v>0</v>
      </c>
      <c r="L42" s="36" t="s">
        <v>138</v>
      </c>
      <c r="M42" s="35" t="str">
        <f>LEFT(Sheet2!B13,1)</f>
        <v>0</v>
      </c>
      <c r="N42" s="36" t="s">
        <v>146</v>
      </c>
      <c r="O42" s="37" t="str">
        <f>LEFT(Sheet2!B14,1)</f>
        <v>1</v>
      </c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1:27" x14ac:dyDescent="0.2">
      <c r="A43" s="10"/>
      <c r="B43" s="38" t="s">
        <v>100</v>
      </c>
      <c r="C43" s="35" t="str">
        <f>MID(Sheet2!B8,2,1)</f>
        <v>0</v>
      </c>
      <c r="D43" s="36" t="s">
        <v>108</v>
      </c>
      <c r="E43" s="35" t="str">
        <f>MID(Sheet2!B9,2,1)</f>
        <v>1</v>
      </c>
      <c r="F43" s="36" t="s">
        <v>116</v>
      </c>
      <c r="G43" s="35" t="str">
        <f>MID(Sheet2!B10,2,1)</f>
        <v>0</v>
      </c>
      <c r="H43" s="36" t="s">
        <v>123</v>
      </c>
      <c r="I43" s="35" t="str">
        <f>MID(Sheet2!B11,2,1)</f>
        <v>1</v>
      </c>
      <c r="J43" s="36" t="s">
        <v>131</v>
      </c>
      <c r="K43" s="35" t="str">
        <f>MID(Sheet2!B12,2,1)</f>
        <v>0</v>
      </c>
      <c r="L43" s="36" t="s">
        <v>139</v>
      </c>
      <c r="M43" s="35" t="str">
        <f>MID(Sheet2!B13,2,1)</f>
        <v>0</v>
      </c>
      <c r="N43" s="36" t="s">
        <v>147</v>
      </c>
      <c r="O43" s="37" t="str">
        <f>MID(Sheet2!B14,2,1)</f>
        <v>1</v>
      </c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1:27" x14ac:dyDescent="0.2">
      <c r="A44" s="10"/>
      <c r="B44" s="38" t="s">
        <v>101</v>
      </c>
      <c r="C44" s="35" t="str">
        <f>MID(Sheet2!B8,3,1)</f>
        <v>0</v>
      </c>
      <c r="D44" s="36" t="s">
        <v>109</v>
      </c>
      <c r="E44" s="35" t="str">
        <f>MID(Sheet2!B9,3,1)</f>
        <v>0</v>
      </c>
      <c r="F44" s="36" t="s">
        <v>117</v>
      </c>
      <c r="G44" s="35" t="str">
        <f>MID(Sheet2!B10,3,1)</f>
        <v>0</v>
      </c>
      <c r="H44" s="36" t="s">
        <v>124</v>
      </c>
      <c r="I44" s="35" t="str">
        <f>MID(Sheet2!B11,3,1)</f>
        <v>0</v>
      </c>
      <c r="J44" s="36" t="s">
        <v>132</v>
      </c>
      <c r="K44" s="35" t="str">
        <f>MID(Sheet2!B12,3,1)</f>
        <v>0</v>
      </c>
      <c r="L44" s="36" t="s">
        <v>140</v>
      </c>
      <c r="M44" s="35" t="str">
        <f>MID(Sheet2!B13,3,1)</f>
        <v>0</v>
      </c>
      <c r="N44" s="36" t="s">
        <v>148</v>
      </c>
      <c r="O44" s="37" t="str">
        <f>MID(Sheet2!B14,3,1)</f>
        <v>1</v>
      </c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1:27" x14ac:dyDescent="0.2">
      <c r="A45" s="10"/>
      <c r="B45" s="38" t="s">
        <v>102</v>
      </c>
      <c r="C45" s="35" t="str">
        <f>MID(Sheet2!B8,4,1)</f>
        <v>0</v>
      </c>
      <c r="D45" s="36" t="s">
        <v>110</v>
      </c>
      <c r="E45" s="35" t="str">
        <f>MID(Sheet2!B9,4,1)</f>
        <v>1</v>
      </c>
      <c r="F45" s="36" t="s">
        <v>252</v>
      </c>
      <c r="G45" s="35" t="str">
        <f>MID(Sheet2!B10,4,1)</f>
        <v>0</v>
      </c>
      <c r="H45" s="36" t="s">
        <v>125</v>
      </c>
      <c r="I45" s="35" t="str">
        <f>MID(Sheet2!B11,4,1)</f>
        <v>1</v>
      </c>
      <c r="J45" s="36" t="s">
        <v>133</v>
      </c>
      <c r="K45" s="35" t="str">
        <f>MID(Sheet2!B12,4,1)</f>
        <v>0</v>
      </c>
      <c r="L45" s="36" t="s">
        <v>141</v>
      </c>
      <c r="M45" s="35" t="str">
        <f>MID(Sheet2!B13,4,1)</f>
        <v>0</v>
      </c>
      <c r="N45" s="36" t="s">
        <v>149</v>
      </c>
      <c r="O45" s="37" t="str">
        <f>MID(Sheet2!B14,4,1)</f>
        <v>1</v>
      </c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1:27" x14ac:dyDescent="0.2">
      <c r="A46" s="10"/>
      <c r="B46" s="38" t="s">
        <v>103</v>
      </c>
      <c r="C46" s="35" t="str">
        <f>MID(Sheet2!B8,5,1)</f>
        <v>0</v>
      </c>
      <c r="D46" s="36" t="s">
        <v>111</v>
      </c>
      <c r="E46" s="35" t="str">
        <f>MID(Sheet2!B9,5,1)</f>
        <v>1</v>
      </c>
      <c r="F46" s="36" t="s">
        <v>118</v>
      </c>
      <c r="G46" s="35" t="str">
        <f>MID(Sheet2!B10,5,1)</f>
        <v>1</v>
      </c>
      <c r="H46" s="36" t="s">
        <v>126</v>
      </c>
      <c r="I46" s="35" t="str">
        <f>MID(Sheet2!B11,5,1)</f>
        <v>0</v>
      </c>
      <c r="J46" s="36" t="s">
        <v>134</v>
      </c>
      <c r="K46" s="35" t="str">
        <f>MID(Sheet2!B12,5,1)</f>
        <v>0</v>
      </c>
      <c r="L46" s="36" t="s">
        <v>142</v>
      </c>
      <c r="M46" s="35" t="str">
        <f>MID(Sheet2!B13,5,1)</f>
        <v>0</v>
      </c>
      <c r="N46" s="36" t="s">
        <v>150</v>
      </c>
      <c r="O46" s="37" t="str">
        <f>MID(Sheet2!B14,5,1)</f>
        <v>1</v>
      </c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1:27" x14ac:dyDescent="0.2">
      <c r="A47" s="10"/>
      <c r="B47" s="38" t="s">
        <v>104</v>
      </c>
      <c r="C47" s="35" t="str">
        <f>MID(Sheet2!B8,6,1)</f>
        <v>1</v>
      </c>
      <c r="D47" s="36" t="s">
        <v>112</v>
      </c>
      <c r="E47" s="35" t="str">
        <f>MID(Sheet2!B9,6,1)</f>
        <v>1</v>
      </c>
      <c r="F47" s="36" t="s">
        <v>119</v>
      </c>
      <c r="G47" s="35" t="str">
        <f>MID(Sheet2!B10,6,1)</f>
        <v>1</v>
      </c>
      <c r="H47" s="36" t="s">
        <v>127</v>
      </c>
      <c r="I47" s="35" t="str">
        <f>MID(Sheet2!B11,6,1)</f>
        <v>1</v>
      </c>
      <c r="J47" s="36" t="s">
        <v>135</v>
      </c>
      <c r="K47" s="35" t="str">
        <f>MID(Sheet2!B12,6,1)</f>
        <v>0</v>
      </c>
      <c r="L47" s="36" t="s">
        <v>143</v>
      </c>
      <c r="M47" s="35" t="str">
        <f>MID(Sheet2!B13,6,1)</f>
        <v>0</v>
      </c>
      <c r="N47" s="36" t="s">
        <v>151</v>
      </c>
      <c r="O47" s="37" t="str">
        <f>MID(Sheet2!B14,6,1)</f>
        <v>1</v>
      </c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spans="1:27" x14ac:dyDescent="0.2">
      <c r="A48" s="10"/>
      <c r="B48" s="38" t="s">
        <v>105</v>
      </c>
      <c r="C48" s="35" t="str">
        <f>MID(Sheet2!B8,7,1)</f>
        <v>0</v>
      </c>
      <c r="D48" s="36" t="s">
        <v>113</v>
      </c>
      <c r="E48" s="35" t="str">
        <f>MID(Sheet2!B9,7,1)</f>
        <v>0</v>
      </c>
      <c r="F48" s="36" t="s">
        <v>120</v>
      </c>
      <c r="G48" s="35" t="str">
        <f>MID(Sheet2!B10,7,1)</f>
        <v>1</v>
      </c>
      <c r="H48" s="36" t="s">
        <v>128</v>
      </c>
      <c r="I48" s="35" t="str">
        <f>MID(Sheet2!B11,7,1)</f>
        <v>0</v>
      </c>
      <c r="J48" s="36" t="s">
        <v>136</v>
      </c>
      <c r="K48" s="35" t="str">
        <f>MID(Sheet2!B12,7,1)</f>
        <v>0</v>
      </c>
      <c r="L48" s="36" t="s">
        <v>144</v>
      </c>
      <c r="M48" s="35" t="str">
        <f>MID(Sheet2!B13,7,1)</f>
        <v>0</v>
      </c>
      <c r="N48" s="36" t="s">
        <v>152</v>
      </c>
      <c r="O48" s="37" t="str">
        <f>MID(Sheet2!B14,7,1)</f>
        <v>0</v>
      </c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49" spans="1:27" x14ac:dyDescent="0.2">
      <c r="A49" s="10"/>
      <c r="B49" s="42" t="s">
        <v>106</v>
      </c>
      <c r="C49" s="43" t="str">
        <f>RIGHT(Sheet2!B8,1)</f>
        <v>0</v>
      </c>
      <c r="D49" s="44" t="s">
        <v>114</v>
      </c>
      <c r="E49" s="43" t="str">
        <f>RIGHT(Sheet2!B9,1)</f>
        <v>0</v>
      </c>
      <c r="F49" s="44" t="s">
        <v>121</v>
      </c>
      <c r="G49" s="43" t="str">
        <f>RIGHT(Sheet2!B10,1)</f>
        <v>1</v>
      </c>
      <c r="H49" s="44" t="s">
        <v>129</v>
      </c>
      <c r="I49" s="43" t="str">
        <f>RIGHT(Sheet2!B11,1)</f>
        <v>1</v>
      </c>
      <c r="J49" s="44" t="s">
        <v>137</v>
      </c>
      <c r="K49" s="43" t="str">
        <f>RIGHT(Sheet2!B12,1)</f>
        <v>0</v>
      </c>
      <c r="L49" s="44" t="s">
        <v>145</v>
      </c>
      <c r="M49" s="43" t="str">
        <f>RIGHT(Sheet2!B13,1)</f>
        <v>1</v>
      </c>
      <c r="N49" s="44" t="s">
        <v>153</v>
      </c>
      <c r="O49" s="45" t="str">
        <f>RIGHT(Sheet2!B14,1)</f>
        <v>1</v>
      </c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</row>
    <row r="50" spans="1:27" x14ac:dyDescent="0.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</row>
    <row r="51" spans="1:27" x14ac:dyDescent="0.2">
      <c r="A51" s="10"/>
      <c r="B51" s="19" t="s">
        <v>238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2" spans="1:27" x14ac:dyDescent="0.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1:27" x14ac:dyDescent="0.2">
      <c r="A53" s="10"/>
      <c r="B53" s="28" t="s">
        <v>239</v>
      </c>
      <c r="C53" s="29"/>
      <c r="D53" s="56" t="str">
        <f>IF(AND(O49="1",O48="0"),"Close CMD",IF(AND(O49="0",O48="1"),"Open CMD",IF(AND(O48="0",O47="0"),"Nudging CMD","No CMD")))</f>
        <v>Close CMD</v>
      </c>
      <c r="E53" s="57"/>
      <c r="F53" s="28" t="s">
        <v>242</v>
      </c>
      <c r="G53" s="29"/>
      <c r="H53" s="56" t="s">
        <v>288</v>
      </c>
      <c r="I53" s="57"/>
      <c r="J53" s="28" t="s">
        <v>243</v>
      </c>
      <c r="K53" s="29"/>
      <c r="L53" s="29"/>
      <c r="M53" s="30"/>
      <c r="N53" s="28" t="s">
        <v>245</v>
      </c>
      <c r="O53" s="29"/>
      <c r="P53" s="29" t="str">
        <f>IF(P55="Off","Not in Door Zone",IF(P55="On","In Door Zone","Error"))</f>
        <v>Not in Door Zone</v>
      </c>
      <c r="Q53" s="30"/>
      <c r="R53" s="54" t="s">
        <v>260</v>
      </c>
      <c r="S53" s="29"/>
      <c r="T53" s="30"/>
      <c r="U53" s="10"/>
      <c r="V53" s="10"/>
      <c r="W53" s="10"/>
      <c r="X53" s="10"/>
      <c r="Y53" s="10"/>
      <c r="Z53" s="10"/>
      <c r="AA53" s="10"/>
    </row>
    <row r="54" spans="1:27" x14ac:dyDescent="0.2">
      <c r="A54" s="10"/>
      <c r="B54" s="39" t="s">
        <v>241</v>
      </c>
      <c r="C54" s="40"/>
      <c r="D54" s="58" t="str">
        <f>IF(AND(E33="1",G37="1"),"Closed",IF(AND(E33="1",G37="0"),"DLT Conflict",IF(AND(E33="0",G37="1"),"DLT Conflict","Open")))</f>
        <v>Closed</v>
      </c>
      <c r="E54" s="59"/>
      <c r="F54" s="39" t="s">
        <v>246</v>
      </c>
      <c r="G54" s="40"/>
      <c r="H54" s="58" t="str">
        <f>IF(AND(E32="1",G36="1"),"Closed",IF(AND(E32="1",G36="0"),"RLM Conflict",IF(AND(E32="0",G36="1"),"RLM Conflict","Open")))</f>
        <v>Open</v>
      </c>
      <c r="I54" s="59"/>
      <c r="J54" s="39" t="s">
        <v>254</v>
      </c>
      <c r="K54" s="40"/>
      <c r="L54" s="58" t="str">
        <f>IF(I43="1","OK","Open")</f>
        <v>OK</v>
      </c>
      <c r="M54" s="59"/>
      <c r="N54" s="39" t="s">
        <v>285</v>
      </c>
      <c r="O54" s="40"/>
      <c r="P54" s="58" t="str">
        <f>IF(AND(O39="1",M33="1"),"On",IF(AND(O39="0",M33="1"),"UL Conflict",IF(AND(O39="1",M33="0"),"UL Conflict","Off")))</f>
        <v>Off</v>
      </c>
      <c r="Q54" s="59"/>
      <c r="R54" s="40" t="s">
        <v>261</v>
      </c>
      <c r="S54" s="40"/>
      <c r="T54" s="41" t="str">
        <f>IF(C42="1","Automatic",IF(C45="1","MR Inspection",IF(C46="1","In Car Inspection",IF(G35="1","Access",IF(M37="1","Independent",IF(M38="1","Hall Bypass",IF(M39="1","Car Bypass",IF(O32="1","Car Top Inspection","Fault"))))))))</f>
        <v>Automatic</v>
      </c>
      <c r="U54" s="10"/>
      <c r="V54" s="10"/>
      <c r="W54" s="10"/>
      <c r="X54" s="10"/>
      <c r="Y54" s="10"/>
      <c r="Z54" s="10"/>
      <c r="AA54" s="10"/>
    </row>
    <row r="55" spans="1:27" x14ac:dyDescent="0.2">
      <c r="A55" s="10"/>
      <c r="B55" s="39" t="s">
        <v>240</v>
      </c>
      <c r="C55" s="40"/>
      <c r="D55" s="58" t="str">
        <f>IF(AND(E34="1",G38="1"),"Closed",IF(AND(E34="1",G38="0"),"DLM Conflict",IF(AND(E34="0",G38="1"),"DLM Conflict","Open")))</f>
        <v>Closed</v>
      </c>
      <c r="E55" s="59"/>
      <c r="F55" s="39" t="s">
        <v>247</v>
      </c>
      <c r="G55" s="40"/>
      <c r="H55" s="58" t="str">
        <f>IF(AND(G44="1",G45="1"),"Closed","Open")</f>
        <v>Open</v>
      </c>
      <c r="I55" s="59"/>
      <c r="J55" s="39" t="s">
        <v>255</v>
      </c>
      <c r="K55" s="40"/>
      <c r="L55" s="58" t="str">
        <f>IF(I42="1","OK","Open")</f>
        <v>OK</v>
      </c>
      <c r="M55" s="59"/>
      <c r="N55" t="s">
        <v>286</v>
      </c>
      <c r="O55" s="10"/>
      <c r="P55" s="49" t="str">
        <f>IF(AND(O38="1",K44="1"),"On",IF(AND(O38="0",K44="1"),"DZ Conflict",IF(AND(O38="1",K44="0"),"DZ Conflict","Off")))</f>
        <v>Off</v>
      </c>
      <c r="Q55" s="59"/>
      <c r="R55" s="40" t="s">
        <v>262</v>
      </c>
      <c r="S55" s="40"/>
      <c r="T55" s="41" t="str">
        <f>IF(M36="1","On","Off")</f>
        <v>On</v>
      </c>
      <c r="U55" s="10"/>
      <c r="V55" s="10"/>
      <c r="W55" s="10"/>
      <c r="X55" s="10"/>
      <c r="Y55" s="10"/>
      <c r="Z55" s="10"/>
      <c r="AA55" s="10"/>
    </row>
    <row r="56" spans="1:27" x14ac:dyDescent="0.2">
      <c r="A56" s="10"/>
      <c r="B56" s="39" t="s">
        <v>249</v>
      </c>
      <c r="C56" s="40"/>
      <c r="D56" s="58" t="str">
        <f>IF(AND(E35="1",G39="1"),"Closed",IF(AND(E35="1",G39="0"),"DLB Conflict",IF(AND(E35="0",G39="1"),"DLB Conflict","Open")))</f>
        <v>Closed</v>
      </c>
      <c r="E56" s="59"/>
      <c r="F56" s="39" t="s">
        <v>248</v>
      </c>
      <c r="G56" s="40"/>
      <c r="H56" s="58" t="str">
        <f>IF(I44="1","Closed","Open")</f>
        <v>Open</v>
      </c>
      <c r="I56" s="59"/>
      <c r="J56" s="39" t="s">
        <v>256</v>
      </c>
      <c r="K56" s="40"/>
      <c r="L56" s="58" t="str">
        <f>IF(I45="1","OK","Open")</f>
        <v>OK</v>
      </c>
      <c r="M56" s="59"/>
      <c r="N56" s="40" t="s">
        <v>287</v>
      </c>
      <c r="O56" s="10"/>
      <c r="P56" s="49" t="str">
        <f>IF(AND(O37="1",M32="1"),"On",IF(AND(O37="0",M32="1"),"DL Conflict",IF(AND(O37="1",M32="0"),"DL Conflict","Off")))</f>
        <v>Off</v>
      </c>
      <c r="Q56" s="59"/>
      <c r="R56" s="40" t="s">
        <v>273</v>
      </c>
      <c r="S56" s="40"/>
      <c r="T56" s="41" t="str">
        <f>IF(E48="1","Yes","No")</f>
        <v>No</v>
      </c>
      <c r="U56" s="10"/>
      <c r="V56" s="10"/>
      <c r="W56" s="10"/>
      <c r="X56" s="10"/>
      <c r="Y56" s="10"/>
      <c r="Z56" s="10"/>
      <c r="AA56" s="10"/>
    </row>
    <row r="57" spans="1:27" x14ac:dyDescent="0.2">
      <c r="A57" s="10"/>
      <c r="B57" s="39" t="s">
        <v>244</v>
      </c>
      <c r="C57" s="40"/>
      <c r="D57" s="58" t="str">
        <f>IF(AND(O35="1",O36="1"),"Closed",IF(AND(O35="1",O36="0"),"GS Conflict",IF(AND(O35="0",O36="1"),"GS Conflict","Open")))</f>
        <v>Closed</v>
      </c>
      <c r="E57" s="59"/>
      <c r="F57" s="39" t="s">
        <v>283</v>
      </c>
      <c r="G57" s="40"/>
      <c r="H57" s="58" t="s">
        <v>49</v>
      </c>
      <c r="I57" s="59"/>
      <c r="J57" s="39" t="s">
        <v>59</v>
      </c>
      <c r="K57" s="40"/>
      <c r="L57" s="58" t="str">
        <f>IF(I32="1","OK","Open")</f>
        <v>OK</v>
      </c>
      <c r="M57" s="59"/>
      <c r="N57" s="39" t="s">
        <v>272</v>
      </c>
      <c r="O57" s="40"/>
      <c r="P57" s="58">
        <f>Sheet2!E18</f>
        <v>0</v>
      </c>
      <c r="Q57" s="59"/>
      <c r="R57" s="40" t="s">
        <v>280</v>
      </c>
      <c r="S57" s="40"/>
      <c r="T57" s="41" t="str">
        <f>IF(E42="1","On","Not Running")</f>
        <v>On</v>
      </c>
      <c r="U57" s="10"/>
      <c r="V57" s="10"/>
      <c r="W57" s="10"/>
      <c r="X57" s="10"/>
      <c r="Y57" s="10"/>
      <c r="Z57" s="10"/>
      <c r="AA57" s="10"/>
    </row>
    <row r="58" spans="1:27" x14ac:dyDescent="0.2">
      <c r="A58" s="10"/>
      <c r="B58" s="39" t="s">
        <v>95</v>
      </c>
      <c r="C58" s="40"/>
      <c r="D58" s="58" t="str">
        <f>IF(O36="1","Closed","Open")</f>
        <v>Closed</v>
      </c>
      <c r="E58" s="59"/>
      <c r="F58" s="39" t="s">
        <v>284</v>
      </c>
      <c r="G58" s="40"/>
      <c r="H58" s="58" t="s">
        <v>49</v>
      </c>
      <c r="I58" s="59"/>
      <c r="J58" s="39" t="s">
        <v>258</v>
      </c>
      <c r="K58" s="40"/>
      <c r="L58" s="58" t="str">
        <f>IF(E47="1","OK","Open")</f>
        <v>OK</v>
      </c>
      <c r="M58" s="59"/>
      <c r="N58" s="39" t="s">
        <v>271</v>
      </c>
      <c r="O58" s="40"/>
      <c r="P58" s="62" t="str">
        <f>K8</f>
        <v>003</v>
      </c>
      <c r="Q58" s="63"/>
      <c r="R58" s="40" t="s">
        <v>281</v>
      </c>
      <c r="S58" s="40"/>
      <c r="T58" s="41" t="str">
        <f>IF(E43="1","ON","Not Lifted")</f>
        <v>ON</v>
      </c>
      <c r="U58" s="10"/>
      <c r="V58" s="10"/>
      <c r="W58" s="10"/>
      <c r="X58" s="10"/>
      <c r="Y58" s="10"/>
      <c r="Z58" s="10"/>
      <c r="AA58" s="10"/>
    </row>
    <row r="59" spans="1:27" x14ac:dyDescent="0.2">
      <c r="A59" s="10"/>
      <c r="B59" s="39" t="s">
        <v>253</v>
      </c>
      <c r="C59" s="40"/>
      <c r="D59" s="58" t="str">
        <f>IF(OR(M46="1",M47="1"),"Obsturcted","Clear")</f>
        <v>Clear</v>
      </c>
      <c r="E59" s="58"/>
      <c r="F59" s="64"/>
      <c r="G59" s="29"/>
      <c r="H59" s="29"/>
      <c r="I59" s="30"/>
      <c r="J59" s="40" t="s">
        <v>257</v>
      </c>
      <c r="K59" s="40"/>
      <c r="L59" s="58" t="str">
        <f>IF(E46="1","Yes","No")</f>
        <v>Yes</v>
      </c>
      <c r="M59" s="59"/>
      <c r="N59" s="39" t="s">
        <v>274</v>
      </c>
      <c r="O59" s="40"/>
      <c r="P59" s="58" t="str">
        <f>IF(C33="1","OK","Fault")</f>
        <v>OK</v>
      </c>
      <c r="Q59" s="59"/>
      <c r="R59" s="40" t="s">
        <v>282</v>
      </c>
      <c r="S59" s="40"/>
      <c r="T59" s="41" t="str">
        <f>IF(M35="1","ON","Off")</f>
        <v>ON</v>
      </c>
      <c r="U59" s="10"/>
      <c r="V59" s="10"/>
      <c r="W59" s="10"/>
      <c r="X59" s="10"/>
      <c r="Y59" s="10"/>
      <c r="Z59" s="10"/>
      <c r="AA59" s="10"/>
    </row>
    <row r="60" spans="1:27" x14ac:dyDescent="0.2">
      <c r="A60" s="10"/>
      <c r="B60" s="51" t="s">
        <v>250</v>
      </c>
      <c r="C60" s="52"/>
      <c r="D60" s="60" t="str">
        <f>IF(AND(M48="0",M49="1"),"Fully Closed",IF(AND(M48="1",M49="1"),"Partially Open",IF(AND(M48="1",M49="0"),"Fully Open")))</f>
        <v>Fully Closed</v>
      </c>
      <c r="E60" s="60"/>
      <c r="F60" s="39"/>
      <c r="G60" s="40"/>
      <c r="H60" s="40"/>
      <c r="I60" s="41"/>
      <c r="J60" s="52" t="s">
        <v>259</v>
      </c>
      <c r="K60" s="52"/>
      <c r="L60" s="60" t="str">
        <f>IF(C47="1","OK","Open")</f>
        <v>OK</v>
      </c>
      <c r="M60" s="61"/>
      <c r="N60" s="39" t="s">
        <v>276</v>
      </c>
      <c r="O60" s="40"/>
      <c r="P60" s="58" t="str">
        <f>IF(C32="1","OK","Open")</f>
        <v>OK</v>
      </c>
      <c r="Q60" s="59"/>
      <c r="R60" s="51"/>
      <c r="S60" s="52"/>
      <c r="T60" s="53"/>
      <c r="U60" s="10"/>
      <c r="V60" s="10"/>
      <c r="W60" s="10"/>
      <c r="X60" s="10"/>
      <c r="Y60" s="10"/>
      <c r="Z60" s="10"/>
      <c r="AA60" s="10"/>
    </row>
    <row r="61" spans="1:27" x14ac:dyDescent="0.2">
      <c r="A61" s="10"/>
      <c r="B61" s="19" t="s">
        <v>251</v>
      </c>
      <c r="C61" s="10"/>
      <c r="D61" s="10"/>
      <c r="E61" s="10"/>
      <c r="F61" s="19" t="s">
        <v>251</v>
      </c>
      <c r="G61" s="10"/>
      <c r="H61" s="10"/>
      <c r="I61" s="10"/>
      <c r="J61" s="19" t="s">
        <v>251</v>
      </c>
      <c r="K61" s="10"/>
      <c r="L61" s="10"/>
      <c r="M61" s="10"/>
      <c r="N61" s="39" t="s">
        <v>277</v>
      </c>
      <c r="O61" s="40"/>
      <c r="P61" s="58" t="str">
        <f>IF(C38="1","OK","Open")</f>
        <v>Open</v>
      </c>
      <c r="Q61" s="59"/>
      <c r="R61" s="40"/>
      <c r="S61" s="40"/>
      <c r="T61" s="40"/>
      <c r="U61" s="10"/>
      <c r="V61" s="10"/>
      <c r="W61" s="10"/>
      <c r="X61" s="10"/>
      <c r="Y61" s="10"/>
      <c r="Z61" s="10"/>
      <c r="AA61" s="10"/>
    </row>
    <row r="62" spans="1:27" x14ac:dyDescent="0.2">
      <c r="A62" s="10"/>
      <c r="B62" s="10" t="str">
        <f>IF(AND(D57="Closed",OR(D54="Open",D55="Open",D56="Open")),"Hall lock open while car door closed","OK")</f>
        <v>OK</v>
      </c>
      <c r="C62" s="10"/>
      <c r="D62" s="10"/>
      <c r="E62" s="10"/>
      <c r="F62" s="10"/>
      <c r="G62" s="10"/>
      <c r="H62" s="10"/>
      <c r="I62" s="10"/>
      <c r="J62" s="10" t="str">
        <f>IF(L54="open","Check Governor swtich",IF(L55="Open","Check Finals and Pit Switch",IF(L56="Open","Check Safties, Car top Stop &amp; Cont Stop",IF(L57="Open","Check Fire Fighter Stop in C.O.P.",IF(L58="Open","Check Rope Gripper",IF(L59="No","Check SFD Relay",IF(L60="Open","Check PFC or SFC Relay, or In Car Stop Switch","OK")))))))</f>
        <v>OK</v>
      </c>
      <c r="K62" s="10"/>
      <c r="L62" s="10"/>
      <c r="M62" s="10"/>
      <c r="N62" s="51" t="s">
        <v>275</v>
      </c>
      <c r="O62" s="52"/>
      <c r="P62" s="60" t="str">
        <f>IF(C39="1","OK","Fault")</f>
        <v>OK</v>
      </c>
      <c r="Q62" s="61"/>
      <c r="R62" s="40"/>
      <c r="S62" s="40"/>
      <c r="T62" s="40"/>
      <c r="U62" s="10"/>
      <c r="V62" s="10"/>
      <c r="W62" s="10"/>
      <c r="X62" s="10"/>
      <c r="Y62" s="10"/>
      <c r="Z62" s="10"/>
      <c r="AA62" s="10"/>
    </row>
    <row r="63" spans="1:27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40"/>
      <c r="O63" s="40"/>
      <c r="P63" s="40"/>
      <c r="Q63" s="40"/>
      <c r="R63" s="40"/>
      <c r="S63" s="40"/>
      <c r="T63" s="40"/>
      <c r="U63" s="10"/>
      <c r="V63" s="10"/>
      <c r="W63" s="10"/>
      <c r="X63" s="10"/>
      <c r="Y63" s="10"/>
      <c r="Z63" s="10"/>
      <c r="AA63" s="10"/>
    </row>
    <row r="64" spans="1:27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</row>
    <row r="65" spans="1:27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</row>
    <row r="66" spans="1:27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</row>
    <row r="67" spans="1:27" x14ac:dyDescent="0.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</row>
    <row r="68" spans="1:27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</row>
    <row r="69" spans="1:27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</row>
    <row r="70" spans="1:27" x14ac:dyDescent="0.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</row>
    <row r="71" spans="1:27" x14ac:dyDescent="0.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</row>
    <row r="72" spans="1:27" x14ac:dyDescent="0.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</row>
    <row r="73" spans="1:27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</row>
    <row r="74" spans="1:27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</row>
    <row r="75" spans="1:27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</row>
    <row r="76" spans="1:27" x14ac:dyDescent="0.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</row>
    <row r="77" spans="1:27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</row>
    <row r="78" spans="1:27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</row>
    <row r="79" spans="1:27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</row>
    <row r="80" spans="1:27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</row>
    <row r="81" spans="1:27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</row>
    <row r="82" spans="1:27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</row>
    <row r="83" spans="1:27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</row>
    <row r="84" spans="1:27" x14ac:dyDescent="0.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</row>
    <row r="85" spans="1:27" x14ac:dyDescent="0.2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</row>
    <row r="86" spans="1:27" x14ac:dyDescent="0.2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</row>
    <row r="87" spans="1:27" x14ac:dyDescent="0.2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</row>
    <row r="88" spans="1:27" x14ac:dyDescent="0.2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</row>
    <row r="89" spans="1:27" x14ac:dyDescent="0.2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</row>
    <row r="90" spans="1:27" x14ac:dyDescent="0.2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</row>
    <row r="91" spans="1:27" x14ac:dyDescent="0.2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</row>
    <row r="92" spans="1:27" x14ac:dyDescent="0.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</row>
    <row r="93" spans="1:27" x14ac:dyDescent="0.2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</row>
    <row r="94" spans="1:27" x14ac:dyDescent="0.2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</row>
    <row r="95" spans="1:27" x14ac:dyDescent="0.2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</row>
    <row r="96" spans="1:27" x14ac:dyDescent="0.2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</row>
    <row r="97" spans="1:27" x14ac:dyDescent="0.2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</row>
    <row r="98" spans="1:27" x14ac:dyDescent="0.2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</row>
    <row r="99" spans="1:27" x14ac:dyDescent="0.2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</row>
    <row r="100" spans="1:27" x14ac:dyDescent="0.2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</row>
    <row r="101" spans="1:27" x14ac:dyDescent="0.2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</row>
    <row r="102" spans="1:27" x14ac:dyDescent="0.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</row>
    <row r="103" spans="1:27" x14ac:dyDescent="0.2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</row>
    <row r="104" spans="1:27" x14ac:dyDescent="0.2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</row>
    <row r="105" spans="1:27" x14ac:dyDescent="0.2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</row>
    <row r="106" spans="1:27" x14ac:dyDescent="0.2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</row>
    <row r="107" spans="1:27" x14ac:dyDescent="0.2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</row>
    <row r="108" spans="1:27" x14ac:dyDescent="0.2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</row>
    <row r="109" spans="1:27" x14ac:dyDescent="0.2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</row>
    <row r="110" spans="1:27" x14ac:dyDescent="0.2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</row>
    <row r="111" spans="1:27" x14ac:dyDescent="0.2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</row>
    <row r="112" spans="1:27" x14ac:dyDescent="0.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</row>
    <row r="113" spans="1:27" x14ac:dyDescent="0.2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</row>
    <row r="114" spans="1:27" x14ac:dyDescent="0.2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</row>
    <row r="115" spans="1:27" x14ac:dyDescent="0.2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</row>
    <row r="116" spans="1:27" x14ac:dyDescent="0.2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</row>
    <row r="117" spans="1:27" x14ac:dyDescent="0.2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</row>
    <row r="118" spans="1:27" x14ac:dyDescent="0.2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</row>
    <row r="119" spans="1:27" x14ac:dyDescent="0.2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</row>
    <row r="120" spans="1:27" x14ac:dyDescent="0.2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</row>
    <row r="121" spans="1:27" x14ac:dyDescent="0.2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</row>
    <row r="122" spans="1:27" x14ac:dyDescent="0.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</row>
    <row r="123" spans="1:27" x14ac:dyDescent="0.2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</row>
    <row r="124" spans="1:27" x14ac:dyDescent="0.2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</row>
    <row r="125" spans="1:27" x14ac:dyDescent="0.2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</row>
    <row r="126" spans="1:27" x14ac:dyDescent="0.2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</row>
    <row r="127" spans="1:27" x14ac:dyDescent="0.2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</row>
    <row r="128" spans="1:27" x14ac:dyDescent="0.2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</row>
    <row r="129" spans="1:27" x14ac:dyDescent="0.2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</row>
    <row r="130" spans="1:27" x14ac:dyDescent="0.2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</row>
    <row r="131" spans="1:27" x14ac:dyDescent="0.2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</row>
    <row r="132" spans="1:27" x14ac:dyDescent="0.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</row>
    <row r="133" spans="1:27" x14ac:dyDescent="0.2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</row>
    <row r="134" spans="1:27" x14ac:dyDescent="0.2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</row>
    <row r="135" spans="1:27" x14ac:dyDescent="0.2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</row>
    <row r="136" spans="1:27" x14ac:dyDescent="0.2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</row>
    <row r="137" spans="1:27" x14ac:dyDescent="0.2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</row>
    <row r="138" spans="1:27" x14ac:dyDescent="0.2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</row>
    <row r="139" spans="1:27" x14ac:dyDescent="0.2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</row>
    <row r="140" spans="1:27" x14ac:dyDescent="0.2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</row>
    <row r="141" spans="1:27" x14ac:dyDescent="0.2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</row>
    <row r="142" spans="1:27" x14ac:dyDescent="0.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</row>
    <row r="143" spans="1:27" x14ac:dyDescent="0.2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</row>
    <row r="144" spans="1:27" x14ac:dyDescent="0.2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</row>
    <row r="145" spans="1:27" x14ac:dyDescent="0.2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</row>
    <row r="146" spans="1:27" x14ac:dyDescent="0.2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</row>
    <row r="147" spans="1:27" x14ac:dyDescent="0.2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</row>
    <row r="148" spans="1:27" x14ac:dyDescent="0.2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</row>
    <row r="149" spans="1:27" x14ac:dyDescent="0.2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</row>
    <row r="150" spans="1:27" x14ac:dyDescent="0.2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</row>
    <row r="151" spans="1:27" x14ac:dyDescent="0.2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</row>
    <row r="152" spans="1:27" x14ac:dyDescent="0.2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</row>
    <row r="153" spans="1:27" x14ac:dyDescent="0.2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</row>
    <row r="154" spans="1:27" x14ac:dyDescent="0.2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</row>
    <row r="155" spans="1:27" x14ac:dyDescent="0.2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</row>
    <row r="156" spans="1:27" x14ac:dyDescent="0.2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</row>
    <row r="157" spans="1:27" x14ac:dyDescent="0.2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</row>
    <row r="158" spans="1:27" x14ac:dyDescent="0.2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</row>
    <row r="159" spans="1:27" x14ac:dyDescent="0.2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</row>
    <row r="160" spans="1:27" x14ac:dyDescent="0.2">
      <c r="A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</row>
    <row r="161" spans="1:27" x14ac:dyDescent="0.2">
      <c r="A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</row>
    <row r="162" spans="1:27" x14ac:dyDescent="0.2">
      <c r="A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</row>
  </sheetData>
  <sheetProtection algorithmName="SHA-512" hashValue="QYQenIHjR1uGPPszEHNvzempBKb8JEia/W1ZRDEDQHpwDwGac03ZDhtIprApUwclU2EL866c8AoHXassvnWseQ==" saltValue="0ko9nhIn7fK1GCZOvLAFnw==" spinCount="100000" sheet="1" objects="1" scenarios="1" selectLockedCells="1"/>
  <mergeCells count="69">
    <mergeCell ref="P60:Q60"/>
    <mergeCell ref="P61:Q61"/>
    <mergeCell ref="P62:Q62"/>
    <mergeCell ref="H53:I53"/>
    <mergeCell ref="H54:I54"/>
    <mergeCell ref="H55:I55"/>
    <mergeCell ref="H56:I56"/>
    <mergeCell ref="H57:I57"/>
    <mergeCell ref="H58:I58"/>
    <mergeCell ref="P54:Q54"/>
    <mergeCell ref="P55:Q55"/>
    <mergeCell ref="P56:Q56"/>
    <mergeCell ref="P57:Q57"/>
    <mergeCell ref="P58:Q58"/>
    <mergeCell ref="P59:Q59"/>
    <mergeCell ref="D60:E60"/>
    <mergeCell ref="L54:M54"/>
    <mergeCell ref="L55:M55"/>
    <mergeCell ref="L56:M56"/>
    <mergeCell ref="L57:M57"/>
    <mergeCell ref="L58:M58"/>
    <mergeCell ref="L59:M59"/>
    <mergeCell ref="L60:M60"/>
    <mergeCell ref="D54:E54"/>
    <mergeCell ref="D55:E55"/>
    <mergeCell ref="D56:E56"/>
    <mergeCell ref="D57:E57"/>
    <mergeCell ref="D58:E58"/>
    <mergeCell ref="D59:E59"/>
    <mergeCell ref="N31:O31"/>
    <mergeCell ref="E11:G11"/>
    <mergeCell ref="B23:G23"/>
    <mergeCell ref="H23:O23"/>
    <mergeCell ref="C13:J13"/>
    <mergeCell ref="D53:E53"/>
    <mergeCell ref="B41:C41"/>
    <mergeCell ref="D41:E41"/>
    <mergeCell ref="F41:G41"/>
    <mergeCell ref="H41:I41"/>
    <mergeCell ref="J41:K41"/>
    <mergeCell ref="L41:M41"/>
    <mergeCell ref="N41:O41"/>
    <mergeCell ref="B31:C31"/>
    <mergeCell ref="D31:E31"/>
    <mergeCell ref="F31:G31"/>
    <mergeCell ref="H31:I31"/>
    <mergeCell ref="J31:K31"/>
    <mergeCell ref="L31:M31"/>
    <mergeCell ref="B28:H28"/>
    <mergeCell ref="I28:P28"/>
    <mergeCell ref="B19:E19"/>
    <mergeCell ref="F19:H19"/>
    <mergeCell ref="I19:O19"/>
    <mergeCell ref="B20:D20"/>
    <mergeCell ref="E20:H20"/>
    <mergeCell ref="B27:K27"/>
    <mergeCell ref="L27:T27"/>
    <mergeCell ref="I16:O16"/>
    <mergeCell ref="B18:D18"/>
    <mergeCell ref="E18:G18"/>
    <mergeCell ref="H18:L18"/>
    <mergeCell ref="M18:O18"/>
    <mergeCell ref="B26:K26"/>
    <mergeCell ref="B16:H16"/>
    <mergeCell ref="B17:D17"/>
    <mergeCell ref="E17:G17"/>
    <mergeCell ref="H17:L17"/>
    <mergeCell ref="M17:O17"/>
    <mergeCell ref="L26:T26"/>
  </mergeCells>
  <conditionalFormatting sqref="C32:C39 E32:E39 G32:G39 I32:I39 K32:K39 M32:M39 O32:O39 O42:O49 M42:M49 K42:K49 I42:I49 G42:G49 E42:E49 C42:C49">
    <cfRule type="containsText" dxfId="258" priority="259" operator="containsText" text="1">
      <formula>NOT(ISERROR(SEARCH("1",C32)))</formula>
    </cfRule>
    <cfRule type="containsText" dxfId="257" priority="260" operator="containsText" text="0">
      <formula>NOT(ISERROR(SEARCH("0",C32)))</formula>
    </cfRule>
  </conditionalFormatting>
  <conditionalFormatting sqref="B32">
    <cfRule type="expression" dxfId="256" priority="254" stopIfTrue="1">
      <formula>$C$32="1"</formula>
    </cfRule>
    <cfRule type="expression" dxfId="255" priority="257" stopIfTrue="1">
      <formula>$C$32="0"</formula>
    </cfRule>
  </conditionalFormatting>
  <conditionalFormatting sqref="B33">
    <cfRule type="expression" dxfId="254" priority="252" stopIfTrue="1">
      <formula>$C$33="1"</formula>
    </cfRule>
    <cfRule type="expression" dxfId="253" priority="253">
      <formula>$C$33="0"</formula>
    </cfRule>
  </conditionalFormatting>
  <conditionalFormatting sqref="B34">
    <cfRule type="expression" dxfId="252" priority="255" stopIfTrue="1">
      <formula>$C$34="0"</formula>
    </cfRule>
    <cfRule type="expression" dxfId="251" priority="256">
      <formula>$C$34="1"</formula>
    </cfRule>
  </conditionalFormatting>
  <conditionalFormatting sqref="B35">
    <cfRule type="expression" dxfId="250" priority="250">
      <formula>$C$35="1"</formula>
    </cfRule>
    <cfRule type="expression" dxfId="249" priority="251" stopIfTrue="1">
      <formula>$C$35="0"</formula>
    </cfRule>
  </conditionalFormatting>
  <conditionalFormatting sqref="B36">
    <cfRule type="expression" dxfId="248" priority="248">
      <formula>$C$36="0"</formula>
    </cfRule>
    <cfRule type="expression" dxfId="247" priority="249">
      <formula>$C$36="1"</formula>
    </cfRule>
  </conditionalFormatting>
  <conditionalFormatting sqref="B37">
    <cfRule type="expression" dxfId="246" priority="246" stopIfTrue="1">
      <formula>$C$37="1"</formula>
    </cfRule>
    <cfRule type="expression" dxfId="245" priority="247">
      <formula>$C$37="0"</formula>
    </cfRule>
  </conditionalFormatting>
  <conditionalFormatting sqref="B38">
    <cfRule type="expression" dxfId="244" priority="244">
      <formula>$C$38="0"</formula>
    </cfRule>
    <cfRule type="expression" dxfId="243" priority="245" stopIfTrue="1">
      <formula>$C$38="1"</formula>
    </cfRule>
  </conditionalFormatting>
  <conditionalFormatting sqref="B39">
    <cfRule type="expression" dxfId="242" priority="242" stopIfTrue="1">
      <formula>$C$39="0"</formula>
    </cfRule>
    <cfRule type="expression" dxfId="241" priority="243">
      <formula>$C$39="1"</formula>
    </cfRule>
  </conditionalFormatting>
  <conditionalFormatting sqref="B42">
    <cfRule type="expression" dxfId="240" priority="240" stopIfTrue="1">
      <formula>$C$42="1"</formula>
    </cfRule>
    <cfRule type="expression" dxfId="239" priority="241">
      <formula>$C$42="0"</formula>
    </cfRule>
  </conditionalFormatting>
  <conditionalFormatting sqref="B43">
    <cfRule type="expression" dxfId="238" priority="238">
      <formula>$C$43="0"</formula>
    </cfRule>
    <cfRule type="expression" dxfId="237" priority="239">
      <formula>$C$43="1"</formula>
    </cfRule>
  </conditionalFormatting>
  <conditionalFormatting sqref="B44">
    <cfRule type="expression" dxfId="236" priority="236">
      <formula>$C$44="0"</formula>
    </cfRule>
    <cfRule type="expression" dxfId="235" priority="237">
      <formula>$C$44="1"</formula>
    </cfRule>
  </conditionalFormatting>
  <conditionalFormatting sqref="B45">
    <cfRule type="expression" dxfId="234" priority="234" stopIfTrue="1">
      <formula>$C$45="0"</formula>
    </cfRule>
    <cfRule type="expression" dxfId="233" priority="235" stopIfTrue="1">
      <formula>$C$45="1"</formula>
    </cfRule>
  </conditionalFormatting>
  <conditionalFormatting sqref="B46">
    <cfRule type="expression" dxfId="232" priority="232" stopIfTrue="1">
      <formula>$C$46="0"</formula>
    </cfRule>
    <cfRule type="expression" dxfId="231" priority="233">
      <formula>$C$46="1"</formula>
    </cfRule>
  </conditionalFormatting>
  <conditionalFormatting sqref="B47">
    <cfRule type="expression" dxfId="230" priority="230">
      <formula>$C$47="0"</formula>
    </cfRule>
    <cfRule type="expression" dxfId="229" priority="231" stopIfTrue="1">
      <formula>$C$47="1"</formula>
    </cfRule>
  </conditionalFormatting>
  <conditionalFormatting sqref="B48">
    <cfRule type="expression" dxfId="228" priority="228" stopIfTrue="1">
      <formula>$C$48="0"</formula>
    </cfRule>
    <cfRule type="expression" dxfId="227" priority="229">
      <formula>$C$48="1"</formula>
    </cfRule>
  </conditionalFormatting>
  <conditionalFormatting sqref="B49">
    <cfRule type="expression" dxfId="226" priority="226">
      <formula>$C$49="0"</formula>
    </cfRule>
    <cfRule type="expression" dxfId="225" priority="227" stopIfTrue="1">
      <formula>$C$49="1"</formula>
    </cfRule>
  </conditionalFormatting>
  <conditionalFormatting sqref="D32">
    <cfRule type="expression" dxfId="224" priority="224">
      <formula>$E$32="1"</formula>
    </cfRule>
    <cfRule type="expression" dxfId="223" priority="225">
      <formula>$E$32="0"</formula>
    </cfRule>
  </conditionalFormatting>
  <conditionalFormatting sqref="D33">
    <cfRule type="expression" dxfId="222" priority="222">
      <formula>$E$33="1"</formula>
    </cfRule>
    <cfRule type="expression" dxfId="221" priority="223" stopIfTrue="1">
      <formula>$E$33="0"</formula>
    </cfRule>
  </conditionalFormatting>
  <conditionalFormatting sqref="D34">
    <cfRule type="expression" dxfId="220" priority="220" stopIfTrue="1">
      <formula>$E$34="1"</formula>
    </cfRule>
    <cfRule type="expression" dxfId="219" priority="221">
      <formula>$E$34="0"</formula>
    </cfRule>
  </conditionalFormatting>
  <conditionalFormatting sqref="D35">
    <cfRule type="expression" dxfId="218" priority="218" stopIfTrue="1">
      <formula>$E$35="1"</formula>
    </cfRule>
    <cfRule type="expression" dxfId="217" priority="219" stopIfTrue="1">
      <formula>$E$35="0"</formula>
    </cfRule>
  </conditionalFormatting>
  <conditionalFormatting sqref="D36">
    <cfRule type="expression" dxfId="216" priority="216">
      <formula>$E$36="1"</formula>
    </cfRule>
    <cfRule type="expression" dxfId="215" priority="217" stopIfTrue="1">
      <formula>$E$36="0"</formula>
    </cfRule>
  </conditionalFormatting>
  <conditionalFormatting sqref="D37">
    <cfRule type="expression" dxfId="214" priority="214">
      <formula>$E$37="1"</formula>
    </cfRule>
    <cfRule type="expression" dxfId="213" priority="215">
      <formula>$E$37="0"</formula>
    </cfRule>
  </conditionalFormatting>
  <conditionalFormatting sqref="D38">
    <cfRule type="expression" dxfId="212" priority="212">
      <formula>$E$38="1"</formula>
    </cfRule>
    <cfRule type="expression" dxfId="211" priority="213" stopIfTrue="1">
      <formula>$E$38="0"</formula>
    </cfRule>
  </conditionalFormatting>
  <conditionalFormatting sqref="D39">
    <cfRule type="expression" dxfId="210" priority="210">
      <formula>$E$39="1"</formula>
    </cfRule>
    <cfRule type="expression" dxfId="209" priority="211">
      <formula>$E$39="0"</formula>
    </cfRule>
  </conditionalFormatting>
  <conditionalFormatting sqref="D42">
    <cfRule type="expression" dxfId="208" priority="208" stopIfTrue="1">
      <formula>$E$42="1"</formula>
    </cfRule>
    <cfRule type="expression" dxfId="207" priority="209" stopIfTrue="1">
      <formula>$E$42="0"</formula>
    </cfRule>
  </conditionalFormatting>
  <conditionalFormatting sqref="D43">
    <cfRule type="expression" dxfId="206" priority="206" stopIfTrue="1">
      <formula>$E$43="1"</formula>
    </cfRule>
    <cfRule type="expression" dxfId="205" priority="207" stopIfTrue="1">
      <formula>$E$43="0"</formula>
    </cfRule>
  </conditionalFormatting>
  <conditionalFormatting sqref="D44">
    <cfRule type="expression" dxfId="204" priority="204">
      <formula>$E$44="1"</formula>
    </cfRule>
    <cfRule type="expression" dxfId="203" priority="205">
      <formula>$E$44="0"</formula>
    </cfRule>
  </conditionalFormatting>
  <conditionalFormatting sqref="D45">
    <cfRule type="expression" dxfId="202" priority="202">
      <formula>$E$45="1"</formula>
    </cfRule>
    <cfRule type="expression" dxfId="201" priority="203" stopIfTrue="1">
      <formula>$E$45="0"</formula>
    </cfRule>
  </conditionalFormatting>
  <conditionalFormatting sqref="D46">
    <cfRule type="expression" dxfId="200" priority="200" stopIfTrue="1">
      <formula>$E$46="1"</formula>
    </cfRule>
    <cfRule type="expression" dxfId="199" priority="201" stopIfTrue="1">
      <formula>$E$46="0"</formula>
    </cfRule>
  </conditionalFormatting>
  <conditionalFormatting sqref="D47">
    <cfRule type="expression" dxfId="198" priority="198">
      <formula>$E$47="1"</formula>
    </cfRule>
    <cfRule type="expression" dxfId="197" priority="199" stopIfTrue="1">
      <formula>$E$47="0"</formula>
    </cfRule>
  </conditionalFormatting>
  <conditionalFormatting sqref="D48">
    <cfRule type="expression" dxfId="196" priority="196" stopIfTrue="1">
      <formula>$E$48="1"</formula>
    </cfRule>
    <cfRule type="expression" dxfId="195" priority="197">
      <formula>$E$48="0"</formula>
    </cfRule>
  </conditionalFormatting>
  <conditionalFormatting sqref="D49">
    <cfRule type="expression" dxfId="194" priority="194" stopIfTrue="1">
      <formula>$E$49="1"</formula>
    </cfRule>
    <cfRule type="expression" dxfId="193" priority="195">
      <formula>$E$49="0"</formula>
    </cfRule>
  </conditionalFormatting>
  <conditionalFormatting sqref="F32">
    <cfRule type="expression" dxfId="192" priority="192" stopIfTrue="1">
      <formula>$G$32="1"</formula>
    </cfRule>
    <cfRule type="expression" dxfId="191" priority="193" stopIfTrue="1">
      <formula>$G$32="0"</formula>
    </cfRule>
  </conditionalFormatting>
  <conditionalFormatting sqref="F33">
    <cfRule type="expression" dxfId="190" priority="190" stopIfTrue="1">
      <formula>$G$33="1"</formula>
    </cfRule>
    <cfRule type="expression" dxfId="189" priority="191">
      <formula>$G$33="0"</formula>
    </cfRule>
  </conditionalFormatting>
  <conditionalFormatting sqref="F34">
    <cfRule type="expression" dxfId="188" priority="188">
      <formula>$G$34="1"</formula>
    </cfRule>
    <cfRule type="expression" dxfId="187" priority="189" stopIfTrue="1">
      <formula>$G$34="0"</formula>
    </cfRule>
  </conditionalFormatting>
  <conditionalFormatting sqref="F35">
    <cfRule type="expression" dxfId="186" priority="186" stopIfTrue="1">
      <formula>$G$35="1"</formula>
    </cfRule>
    <cfRule type="expression" dxfId="185" priority="187" stopIfTrue="1">
      <formula>$G$35="0"</formula>
    </cfRule>
  </conditionalFormatting>
  <conditionalFormatting sqref="F36">
    <cfRule type="expression" dxfId="184" priority="184" stopIfTrue="1">
      <formula>$G$36="1"</formula>
    </cfRule>
    <cfRule type="expression" dxfId="183" priority="185">
      <formula>$G$36="0"</formula>
    </cfRule>
  </conditionalFormatting>
  <conditionalFormatting sqref="F37">
    <cfRule type="expression" dxfId="182" priority="182">
      <formula>$G$37="1"</formula>
    </cfRule>
    <cfRule type="expression" dxfId="181" priority="183" stopIfTrue="1">
      <formula>$G$37="0"</formula>
    </cfRule>
  </conditionalFormatting>
  <conditionalFormatting sqref="F38">
    <cfRule type="expression" dxfId="180" priority="180" stopIfTrue="1">
      <formula>$G$38="1"</formula>
    </cfRule>
    <cfRule type="expression" dxfId="179" priority="181">
      <formula>$G$38="0"</formula>
    </cfRule>
  </conditionalFormatting>
  <conditionalFormatting sqref="F39">
    <cfRule type="expression" dxfId="178" priority="178">
      <formula>$G$39="1"</formula>
    </cfRule>
    <cfRule type="expression" dxfId="177" priority="179">
      <formula>$G$39="0"</formula>
    </cfRule>
  </conditionalFormatting>
  <conditionalFormatting sqref="F42">
    <cfRule type="expression" dxfId="176" priority="176" stopIfTrue="1">
      <formula>$G$42="1"</formula>
    </cfRule>
    <cfRule type="expression" dxfId="175" priority="177">
      <formula>$G$42="0"</formula>
    </cfRule>
  </conditionalFormatting>
  <conditionalFormatting sqref="F43">
    <cfRule type="expression" dxfId="174" priority="174" stopIfTrue="1">
      <formula>$G$43="1"</formula>
    </cfRule>
    <cfRule type="expression" dxfId="173" priority="175" stopIfTrue="1">
      <formula>$G$43="0"</formula>
    </cfRule>
  </conditionalFormatting>
  <conditionalFormatting sqref="F44">
    <cfRule type="expression" dxfId="172" priority="172" stopIfTrue="1">
      <formula>$G$44="1"</formula>
    </cfRule>
    <cfRule type="expression" dxfId="171" priority="173" stopIfTrue="1">
      <formula>$G$44="0"</formula>
    </cfRule>
  </conditionalFormatting>
  <conditionalFormatting sqref="F45">
    <cfRule type="expression" dxfId="170" priority="170">
      <formula>$G$45="1"</formula>
    </cfRule>
    <cfRule type="expression" dxfId="169" priority="171">
      <formula>$G$45="0"</formula>
    </cfRule>
  </conditionalFormatting>
  <conditionalFormatting sqref="F46">
    <cfRule type="expression" dxfId="168" priority="168">
      <formula>$G$46="1"</formula>
    </cfRule>
    <cfRule type="expression" dxfId="167" priority="169" stopIfTrue="1">
      <formula>$G$46="0"</formula>
    </cfRule>
  </conditionalFormatting>
  <conditionalFormatting sqref="F47">
    <cfRule type="expression" dxfId="166" priority="166">
      <formula>$G$47="1"</formula>
    </cfRule>
    <cfRule type="expression" dxfId="165" priority="167">
      <formula>$G$47="0"</formula>
    </cfRule>
  </conditionalFormatting>
  <conditionalFormatting sqref="F48">
    <cfRule type="expression" dxfId="164" priority="164">
      <formula>$G$48="1"</formula>
    </cfRule>
    <cfRule type="expression" dxfId="163" priority="165" stopIfTrue="1">
      <formula>$G$48="0"</formula>
    </cfRule>
  </conditionalFormatting>
  <conditionalFormatting sqref="F49">
    <cfRule type="expression" dxfId="162" priority="162" stopIfTrue="1">
      <formula>$G$49="1"</formula>
    </cfRule>
    <cfRule type="expression" dxfId="161" priority="163">
      <formula>$G$49="0"</formula>
    </cfRule>
  </conditionalFormatting>
  <conditionalFormatting sqref="H32">
    <cfRule type="expression" dxfId="160" priority="160" stopIfTrue="1">
      <formula>$I$32="1"</formula>
    </cfRule>
    <cfRule type="expression" dxfId="159" priority="161" stopIfTrue="1">
      <formula>$I$32="0"</formula>
    </cfRule>
  </conditionalFormatting>
  <conditionalFormatting sqref="H33">
    <cfRule type="expression" dxfId="158" priority="158">
      <formula>$I$33="1"</formula>
    </cfRule>
    <cfRule type="expression" dxfId="157" priority="159">
      <formula>$I$33="0"</formula>
    </cfRule>
  </conditionalFormatting>
  <conditionalFormatting sqref="H34">
    <cfRule type="expression" dxfId="156" priority="156" stopIfTrue="1">
      <formula>$I$34="1"</formula>
    </cfRule>
    <cfRule type="expression" dxfId="155" priority="157">
      <formula>$I$34="0"</formula>
    </cfRule>
  </conditionalFormatting>
  <conditionalFormatting sqref="H35">
    <cfRule type="expression" dxfId="154" priority="154">
      <formula>$I$35="1"</formula>
    </cfRule>
    <cfRule type="expression" dxfId="153" priority="155" stopIfTrue="1">
      <formula>$I$35="0"</formula>
    </cfRule>
  </conditionalFormatting>
  <conditionalFormatting sqref="H36">
    <cfRule type="expression" dxfId="152" priority="152" stopIfTrue="1">
      <formula>$I$36="1"</formula>
    </cfRule>
    <cfRule type="expression" dxfId="151" priority="153" stopIfTrue="1">
      <formula>$I$36="0"</formula>
    </cfRule>
  </conditionalFormatting>
  <conditionalFormatting sqref="H37">
    <cfRule type="expression" dxfId="150" priority="150">
      <formula>$I$37="1"</formula>
    </cfRule>
    <cfRule type="expression" dxfId="149" priority="151" stopIfTrue="1">
      <formula>$I$37="0"</formula>
    </cfRule>
  </conditionalFormatting>
  <conditionalFormatting sqref="H38">
    <cfRule type="expression" dxfId="148" priority="148" stopIfTrue="1">
      <formula>$I$38="1"</formula>
    </cfRule>
    <cfRule type="expression" dxfId="147" priority="149" stopIfTrue="1">
      <formula>$I$38="0"</formula>
    </cfRule>
  </conditionalFormatting>
  <conditionalFormatting sqref="H39">
    <cfRule type="expression" dxfId="146" priority="146" stopIfTrue="1">
      <formula>$I$39="1"</formula>
    </cfRule>
    <cfRule type="expression" dxfId="145" priority="147" stopIfTrue="1">
      <formula>$I$39="0"</formula>
    </cfRule>
  </conditionalFormatting>
  <conditionalFormatting sqref="H42">
    <cfRule type="expression" dxfId="144" priority="144">
      <formula>$I$42="1"</formula>
    </cfRule>
    <cfRule type="expression" dxfId="143" priority="145" stopIfTrue="1">
      <formula>$I$42="0"</formula>
    </cfRule>
  </conditionalFormatting>
  <conditionalFormatting sqref="H43">
    <cfRule type="expression" dxfId="142" priority="142">
      <formula>$I$43="1"</formula>
    </cfRule>
    <cfRule type="expression" dxfId="141" priority="143" stopIfTrue="1">
      <formula>$I$43="0"</formula>
    </cfRule>
  </conditionalFormatting>
  <conditionalFormatting sqref="H44">
    <cfRule type="expression" dxfId="140" priority="140">
      <formula>$I$44="1"</formula>
    </cfRule>
    <cfRule type="expression" dxfId="139" priority="141">
      <formula>$I$44="0"</formula>
    </cfRule>
  </conditionalFormatting>
  <conditionalFormatting sqref="H45">
    <cfRule type="expression" dxfId="138" priority="138" stopIfTrue="1">
      <formula>$I$45="1"</formula>
    </cfRule>
    <cfRule type="expression" dxfId="137" priority="139" stopIfTrue="1">
      <formula>$I$45="0"</formula>
    </cfRule>
  </conditionalFormatting>
  <conditionalFormatting sqref="H46">
    <cfRule type="expression" dxfId="136" priority="136" stopIfTrue="1">
      <formula>$I$46="1"</formula>
    </cfRule>
    <cfRule type="expression" dxfId="135" priority="137" stopIfTrue="1">
      <formula>$I$46="0"</formula>
    </cfRule>
  </conditionalFormatting>
  <conditionalFormatting sqref="H47">
    <cfRule type="expression" dxfId="134" priority="134" stopIfTrue="1">
      <formula>$I$47="1"</formula>
    </cfRule>
    <cfRule type="expression" dxfId="133" priority="135" stopIfTrue="1">
      <formula>$I$47="0"</formula>
    </cfRule>
  </conditionalFormatting>
  <conditionalFormatting sqref="H48">
    <cfRule type="expression" dxfId="132" priority="132" stopIfTrue="1">
      <formula>$I$48="1"</formula>
    </cfRule>
    <cfRule type="expression" dxfId="131" priority="133" stopIfTrue="1">
      <formula>$I$48="0"</formula>
    </cfRule>
  </conditionalFormatting>
  <conditionalFormatting sqref="H49">
    <cfRule type="expression" dxfId="130" priority="130">
      <formula>$I$49="1"</formula>
    </cfRule>
    <cfRule type="expression" dxfId="129" priority="131" stopIfTrue="1">
      <formula>$I$49="0"</formula>
    </cfRule>
  </conditionalFormatting>
  <conditionalFormatting sqref="J32">
    <cfRule type="expression" dxfId="128" priority="128">
      <formula>$K$32="1"</formula>
    </cfRule>
    <cfRule type="expression" dxfId="127" priority="129">
      <formula>$K$32="0"</formula>
    </cfRule>
  </conditionalFormatting>
  <conditionalFormatting sqref="J33">
    <cfRule type="expression" dxfId="126" priority="126">
      <formula>$K$33="1"</formula>
    </cfRule>
    <cfRule type="expression" dxfId="125" priority="127">
      <formula>$K$33="0"</formula>
    </cfRule>
  </conditionalFormatting>
  <conditionalFormatting sqref="J34">
    <cfRule type="expression" dxfId="124" priority="124">
      <formula>$K$34="1"</formula>
    </cfRule>
    <cfRule type="expression" dxfId="123" priority="125">
      <formula>$K$34="0"</formula>
    </cfRule>
  </conditionalFormatting>
  <conditionalFormatting sqref="J35">
    <cfRule type="expression" dxfId="122" priority="122" stopIfTrue="1">
      <formula>$K$35="1"</formula>
    </cfRule>
    <cfRule type="expression" dxfId="121" priority="123">
      <formula>$K$35="0"</formula>
    </cfRule>
  </conditionalFormatting>
  <conditionalFormatting sqref="J36">
    <cfRule type="expression" dxfId="120" priority="120">
      <formula>$K$36="1"</formula>
    </cfRule>
    <cfRule type="expression" dxfId="119" priority="121">
      <formula>$K$36="0"</formula>
    </cfRule>
  </conditionalFormatting>
  <conditionalFormatting sqref="J37">
    <cfRule type="expression" dxfId="118" priority="118" stopIfTrue="1">
      <formula>$K$37="1"</formula>
    </cfRule>
    <cfRule type="expression" dxfId="117" priority="119">
      <formula>$K$37="0"</formula>
    </cfRule>
  </conditionalFormatting>
  <conditionalFormatting sqref="J38">
    <cfRule type="expression" dxfId="116" priority="116">
      <formula>$K$38="1"</formula>
    </cfRule>
    <cfRule type="expression" dxfId="115" priority="117" stopIfTrue="1">
      <formula>$K$38="0"</formula>
    </cfRule>
  </conditionalFormatting>
  <conditionalFormatting sqref="J39">
    <cfRule type="expression" dxfId="114" priority="114">
      <formula>$K$39="1"</formula>
    </cfRule>
    <cfRule type="expression" dxfId="113" priority="115">
      <formula>$K$39="0"</formula>
    </cfRule>
  </conditionalFormatting>
  <conditionalFormatting sqref="J42">
    <cfRule type="expression" dxfId="112" priority="112">
      <formula>$K$42="1"</formula>
    </cfRule>
    <cfRule type="expression" dxfId="111" priority="113">
      <formula>$K$42="0"</formula>
    </cfRule>
  </conditionalFormatting>
  <conditionalFormatting sqref="J43">
    <cfRule type="expression" dxfId="110" priority="110" stopIfTrue="1">
      <formula>$K$43="1"</formula>
    </cfRule>
    <cfRule type="expression" dxfId="109" priority="111" stopIfTrue="1">
      <formula>$K$43="0"</formula>
    </cfRule>
  </conditionalFormatting>
  <conditionalFormatting sqref="J44">
    <cfRule type="expression" dxfId="108" priority="108" stopIfTrue="1">
      <formula>$K$44="1"</formula>
    </cfRule>
    <cfRule type="expression" dxfId="107" priority="109" stopIfTrue="1">
      <formula>$K$44="0"</formula>
    </cfRule>
  </conditionalFormatting>
  <conditionalFormatting sqref="J45">
    <cfRule type="expression" dxfId="106" priority="106" stopIfTrue="1">
      <formula>$K$45="1"</formula>
    </cfRule>
    <cfRule type="expression" dxfId="105" priority="107">
      <formula>$K$45="0"</formula>
    </cfRule>
  </conditionalFormatting>
  <conditionalFormatting sqref="J46">
    <cfRule type="expression" dxfId="104" priority="104">
      <formula>$K$46="1"</formula>
    </cfRule>
    <cfRule type="expression" dxfId="103" priority="105">
      <formula>$K$46="0"</formula>
    </cfRule>
  </conditionalFormatting>
  <conditionalFormatting sqref="J47">
    <cfRule type="expression" dxfId="102" priority="102">
      <formula>$K$47="1"</formula>
    </cfRule>
    <cfRule type="expression" dxfId="101" priority="103" stopIfTrue="1">
      <formula>$K$47="0"</formula>
    </cfRule>
  </conditionalFormatting>
  <conditionalFormatting sqref="J48">
    <cfRule type="expression" dxfId="100" priority="100" stopIfTrue="1">
      <formula>$K$48="1"</formula>
    </cfRule>
    <cfRule type="expression" dxfId="99" priority="101">
      <formula>$K$48="0"</formula>
    </cfRule>
  </conditionalFormatting>
  <conditionalFormatting sqref="J49">
    <cfRule type="expression" dxfId="98" priority="98" stopIfTrue="1">
      <formula>$K$43="1"</formula>
    </cfRule>
    <cfRule type="expression" dxfId="97" priority="99" stopIfTrue="1">
      <formula>$K$49="0"</formula>
    </cfRule>
  </conditionalFormatting>
  <conditionalFormatting sqref="L32">
    <cfRule type="expression" dxfId="96" priority="96" stopIfTrue="1">
      <formula>$M$32="1"</formula>
    </cfRule>
    <cfRule type="expression" dxfId="95" priority="97" stopIfTrue="1">
      <formula>$M$32="0"</formula>
    </cfRule>
  </conditionalFormatting>
  <conditionalFormatting sqref="L33">
    <cfRule type="expression" dxfId="94" priority="94" stopIfTrue="1">
      <formula>$M$33="1"</formula>
    </cfRule>
    <cfRule type="expression" dxfId="93" priority="95">
      <formula>$M$33="0"</formula>
    </cfRule>
  </conditionalFormatting>
  <conditionalFormatting sqref="L34">
    <cfRule type="expression" dxfId="92" priority="92">
      <formula>$M$34="1"</formula>
    </cfRule>
    <cfRule type="expression" dxfId="91" priority="93" stopIfTrue="1">
      <formula>$M$34="0"</formula>
    </cfRule>
  </conditionalFormatting>
  <conditionalFormatting sqref="L35">
    <cfRule type="expression" dxfId="90" priority="90">
      <formula>$M$35="1"</formula>
    </cfRule>
    <cfRule type="expression" dxfId="89" priority="91">
      <formula>$M$35="0"</formula>
    </cfRule>
  </conditionalFormatting>
  <conditionalFormatting sqref="L36">
    <cfRule type="expression" dxfId="88" priority="88">
      <formula>$M$36="1"</formula>
    </cfRule>
    <cfRule type="expression" dxfId="87" priority="89" stopIfTrue="1">
      <formula>$M$36="0"</formula>
    </cfRule>
  </conditionalFormatting>
  <conditionalFormatting sqref="L37">
    <cfRule type="expression" dxfId="86" priority="86">
      <formula>$M$37="1"</formula>
    </cfRule>
    <cfRule type="expression" dxfId="85" priority="87" stopIfTrue="1">
      <formula>$M$37="0"</formula>
    </cfRule>
  </conditionalFormatting>
  <conditionalFormatting sqref="L38">
    <cfRule type="expression" dxfId="84" priority="84">
      <formula>$M$38="1"</formula>
    </cfRule>
    <cfRule type="expression" dxfId="83" priority="85" stopIfTrue="1">
      <formula>$M$38="0"</formula>
    </cfRule>
  </conditionalFormatting>
  <conditionalFormatting sqref="L39">
    <cfRule type="expression" dxfId="82" priority="82" stopIfTrue="1">
      <formula>$M$39="1"</formula>
    </cfRule>
    <cfRule type="expression" dxfId="81" priority="83" stopIfTrue="1">
      <formula>$M$39="0"</formula>
    </cfRule>
  </conditionalFormatting>
  <conditionalFormatting sqref="L42">
    <cfRule type="expression" dxfId="80" priority="66">
      <formula>$M$42="1"</formula>
    </cfRule>
    <cfRule type="expression" dxfId="79" priority="81" stopIfTrue="1">
      <formula>$M$42="0"</formula>
    </cfRule>
  </conditionalFormatting>
  <conditionalFormatting sqref="L43">
    <cfRule type="expression" dxfId="78" priority="78" stopIfTrue="1">
      <formula>$M$43="1"</formula>
    </cfRule>
    <cfRule type="expression" dxfId="77" priority="79" stopIfTrue="1">
      <formula>$M$43="0"</formula>
    </cfRule>
  </conditionalFormatting>
  <conditionalFormatting sqref="L49">
    <cfRule type="expression" dxfId="76" priority="67" stopIfTrue="1">
      <formula>$M$49="1"</formula>
    </cfRule>
    <cfRule type="expression" dxfId="75" priority="72">
      <formula>$M$49="0"</formula>
    </cfRule>
  </conditionalFormatting>
  <conditionalFormatting sqref="L44">
    <cfRule type="expression" dxfId="74" priority="77" stopIfTrue="1">
      <formula>$M$44="0"</formula>
    </cfRule>
    <cfRule type="expression" dxfId="73" priority="80" stopIfTrue="1">
      <formula>$M$44="1"</formula>
    </cfRule>
  </conditionalFormatting>
  <conditionalFormatting sqref="L45">
    <cfRule type="expression" dxfId="72" priority="71" stopIfTrue="1">
      <formula>$M$45="1"</formula>
    </cfRule>
    <cfRule type="expression" dxfId="71" priority="76">
      <formula>$M$45="0"</formula>
    </cfRule>
  </conditionalFormatting>
  <conditionalFormatting sqref="L46">
    <cfRule type="expression" dxfId="70" priority="70" stopIfTrue="1">
      <formula>$M$46="1"</formula>
    </cfRule>
    <cfRule type="expression" dxfId="69" priority="75">
      <formula>$M$46="0"</formula>
    </cfRule>
  </conditionalFormatting>
  <conditionalFormatting sqref="L47">
    <cfRule type="expression" dxfId="68" priority="69" stopIfTrue="1">
      <formula>$M$47="1"</formula>
    </cfRule>
    <cfRule type="expression" dxfId="67" priority="74">
      <formula>$M$47="0"</formula>
    </cfRule>
  </conditionalFormatting>
  <conditionalFormatting sqref="L48">
    <cfRule type="expression" dxfId="66" priority="68" stopIfTrue="1">
      <formula>$M$48="1"</formula>
    </cfRule>
    <cfRule type="expression" dxfId="65" priority="73">
      <formula>$M$48="0"</formula>
    </cfRule>
  </conditionalFormatting>
  <conditionalFormatting sqref="N32">
    <cfRule type="expression" dxfId="64" priority="64" stopIfTrue="1">
      <formula>$O$32="1"</formula>
    </cfRule>
    <cfRule type="expression" dxfId="63" priority="65" stopIfTrue="1">
      <formula>$O$32="0"</formula>
    </cfRule>
  </conditionalFormatting>
  <conditionalFormatting sqref="N39">
    <cfRule type="expression" dxfId="62" priority="56">
      <formula>$O$39="0"</formula>
    </cfRule>
    <cfRule type="expression" dxfId="61" priority="63" stopIfTrue="1">
      <formula>$O$39="1"</formula>
    </cfRule>
  </conditionalFormatting>
  <conditionalFormatting sqref="N37">
    <cfRule type="expression" dxfId="60" priority="54">
      <formula>$O$37="0"</formula>
    </cfRule>
    <cfRule type="expression" dxfId="59" priority="61" stopIfTrue="1">
      <formula>$O$37="1"</formula>
    </cfRule>
  </conditionalFormatting>
  <conditionalFormatting sqref="N36">
    <cfRule type="expression" dxfId="58" priority="53">
      <formula>$O$36="0"</formula>
    </cfRule>
    <cfRule type="expression" dxfId="57" priority="60" stopIfTrue="1">
      <formula>$O$36="1"</formula>
    </cfRule>
  </conditionalFormatting>
  <conditionalFormatting sqref="N35">
    <cfRule type="expression" dxfId="56" priority="52">
      <formula>$O$35="0"</formula>
    </cfRule>
    <cfRule type="expression" dxfId="55" priority="59" stopIfTrue="1">
      <formula>$O$35="1"</formula>
    </cfRule>
  </conditionalFormatting>
  <conditionalFormatting sqref="N34">
    <cfRule type="expression" dxfId="54" priority="51">
      <formula>$O$34="0"</formula>
    </cfRule>
    <cfRule type="expression" dxfId="53" priority="58" stopIfTrue="1">
      <formula>$O$34="1"</formula>
    </cfRule>
  </conditionalFormatting>
  <conditionalFormatting sqref="N33">
    <cfRule type="expression" dxfId="52" priority="50">
      <formula>$O$33="0"</formula>
    </cfRule>
    <cfRule type="expression" dxfId="51" priority="57">
      <formula>$O$33="1"</formula>
    </cfRule>
  </conditionalFormatting>
  <conditionalFormatting sqref="N38">
    <cfRule type="expression" dxfId="50" priority="55">
      <formula>$O$38="0"</formula>
    </cfRule>
    <cfRule type="expression" dxfId="49" priority="62" stopIfTrue="1">
      <formula>$O$38="1"</formula>
    </cfRule>
  </conditionalFormatting>
  <conditionalFormatting sqref="N42">
    <cfRule type="expression" dxfId="48" priority="48">
      <formula>$O$42="1"</formula>
    </cfRule>
    <cfRule type="expression" dxfId="47" priority="49" stopIfTrue="1">
      <formula>$O$42="0"</formula>
    </cfRule>
  </conditionalFormatting>
  <conditionalFormatting sqref="N43">
    <cfRule type="expression" dxfId="46" priority="34">
      <formula>$O$43="0"</formula>
    </cfRule>
    <cfRule type="expression" dxfId="45" priority="41">
      <formula>$O$43="1"</formula>
    </cfRule>
  </conditionalFormatting>
  <conditionalFormatting sqref="N44">
    <cfRule type="expression" dxfId="44" priority="35">
      <formula>$O$44="0"</formula>
    </cfRule>
    <cfRule type="expression" dxfId="43" priority="42">
      <formula>$O$44="1"</formula>
    </cfRule>
  </conditionalFormatting>
  <conditionalFormatting sqref="N45">
    <cfRule type="expression" dxfId="42" priority="36">
      <formula>$O$45="0"</formula>
    </cfRule>
    <cfRule type="expression" dxfId="41" priority="43">
      <formula>$O$45="1"</formula>
    </cfRule>
  </conditionalFormatting>
  <conditionalFormatting sqref="N46">
    <cfRule type="expression" dxfId="40" priority="37" stopIfTrue="1">
      <formula>$O$46="0"</formula>
    </cfRule>
    <cfRule type="expression" dxfId="39" priority="44" stopIfTrue="1">
      <formula>$O$46="1"</formula>
    </cfRule>
  </conditionalFormatting>
  <conditionalFormatting sqref="N47">
    <cfRule type="expression" dxfId="38" priority="38" stopIfTrue="1">
      <formula>$O$47="0"</formula>
    </cfRule>
    <cfRule type="expression" dxfId="37" priority="45" stopIfTrue="1">
      <formula>$O$47="1"</formula>
    </cfRule>
  </conditionalFormatting>
  <conditionalFormatting sqref="N48">
    <cfRule type="expression" dxfId="36" priority="39" stopIfTrue="1">
      <formula>$O$48="0"</formula>
    </cfRule>
    <cfRule type="expression" dxfId="35" priority="46" stopIfTrue="1">
      <formula>$O$48="1"</formula>
    </cfRule>
  </conditionalFormatting>
  <conditionalFormatting sqref="N49">
    <cfRule type="expression" dxfId="34" priority="40" stopIfTrue="1">
      <formula>$O$49="0"</formula>
    </cfRule>
    <cfRule type="expression" dxfId="33" priority="47" stopIfTrue="1">
      <formula>$O$49="1"</formula>
    </cfRule>
  </conditionalFormatting>
  <conditionalFormatting sqref="D54">
    <cfRule type="containsText" dxfId="32" priority="32" stopIfTrue="1" operator="containsText" text="Open">
      <formula>NOT(ISERROR(SEARCH("Open",D54)))</formula>
    </cfRule>
    <cfRule type="containsText" dxfId="31" priority="33" operator="containsText" text="Closed">
      <formula>NOT(ISERROR(SEARCH("Closed",D54)))</formula>
    </cfRule>
  </conditionalFormatting>
  <conditionalFormatting sqref="D55">
    <cfRule type="containsText" dxfId="30" priority="27" operator="containsText" text="Closed">
      <formula>NOT(ISERROR(SEARCH("Closed",D55)))</formula>
    </cfRule>
    <cfRule type="containsText" dxfId="29" priority="31" operator="containsText" text="Open">
      <formula>NOT(ISERROR(SEARCH("Open",D55)))</formula>
    </cfRule>
  </conditionalFormatting>
  <conditionalFormatting sqref="D56">
    <cfRule type="containsText" dxfId="28" priority="26" operator="containsText" text="Closed">
      <formula>NOT(ISERROR(SEARCH("Closed",D56)))</formula>
    </cfRule>
    <cfRule type="containsText" dxfId="27" priority="30" operator="containsText" text="Open">
      <formula>NOT(ISERROR(SEARCH("Open",D56)))</formula>
    </cfRule>
  </conditionalFormatting>
  <conditionalFormatting sqref="D57">
    <cfRule type="containsText" dxfId="26" priority="25" operator="containsText" text="Closed">
      <formula>NOT(ISERROR(SEARCH("Closed",D57)))</formula>
    </cfRule>
    <cfRule type="containsText" dxfId="25" priority="29" operator="containsText" text="Open">
      <formula>NOT(ISERROR(SEARCH("Open",D57)))</formula>
    </cfRule>
  </conditionalFormatting>
  <conditionalFormatting sqref="D58">
    <cfRule type="containsText" dxfId="24" priority="24" operator="containsText" text="Closed">
      <formula>NOT(ISERROR(SEARCH("Closed",D58)))</formula>
    </cfRule>
    <cfRule type="containsText" dxfId="23" priority="28" operator="containsText" text="Open">
      <formula>NOT(ISERROR(SEARCH("Open",D58)))</formula>
    </cfRule>
  </conditionalFormatting>
  <conditionalFormatting sqref="L54">
    <cfRule type="containsText" dxfId="22" priority="16" operator="containsText" text="Open">
      <formula>NOT(ISERROR(SEARCH("Open",L54)))</formula>
    </cfRule>
    <cfRule type="containsText" dxfId="21" priority="23" operator="containsText" text="OK">
      <formula>NOT(ISERROR(SEARCH("OK",L54)))</formula>
    </cfRule>
  </conditionalFormatting>
  <conditionalFormatting sqref="L55">
    <cfRule type="containsText" dxfId="20" priority="15" operator="containsText" text="Open">
      <formula>NOT(ISERROR(SEARCH("Open",L55)))</formula>
    </cfRule>
    <cfRule type="containsText" dxfId="19" priority="17" operator="containsText" text="OK">
      <formula>NOT(ISERROR(SEARCH("OK",L55)))</formula>
    </cfRule>
  </conditionalFormatting>
  <conditionalFormatting sqref="L56">
    <cfRule type="containsText" dxfId="18" priority="14" operator="containsText" text="Open">
      <formula>NOT(ISERROR(SEARCH("Open",L56)))</formula>
    </cfRule>
    <cfRule type="containsText" dxfId="17" priority="22" operator="containsText" text="OK">
      <formula>NOT(ISERROR(SEARCH("OK",L56)))</formula>
    </cfRule>
  </conditionalFormatting>
  <conditionalFormatting sqref="L57">
    <cfRule type="containsText" dxfId="16" priority="13" operator="containsText" text="Open">
      <formula>NOT(ISERROR(SEARCH("Open",L57)))</formula>
    </cfRule>
    <cfRule type="containsText" dxfId="15" priority="21" operator="containsText" text="OK">
      <formula>NOT(ISERROR(SEARCH("OK",L57)))</formula>
    </cfRule>
  </conditionalFormatting>
  <conditionalFormatting sqref="L58">
    <cfRule type="containsText" dxfId="14" priority="12" operator="containsText" text="Open">
      <formula>NOT(ISERROR(SEARCH("Open",L58)))</formula>
    </cfRule>
    <cfRule type="containsText" dxfId="13" priority="20" operator="containsText" text="OK">
      <formula>NOT(ISERROR(SEARCH("OK",L58)))</formula>
    </cfRule>
  </conditionalFormatting>
  <conditionalFormatting sqref="L59">
    <cfRule type="containsText" dxfId="12" priority="11" operator="containsText" text="Open">
      <formula>NOT(ISERROR(SEARCH("Open",L59)))</formula>
    </cfRule>
    <cfRule type="containsText" dxfId="11" priority="19" stopIfTrue="1" operator="containsText" text="Yes">
      <formula>NOT(ISERROR(SEARCH("Yes",L59)))</formula>
    </cfRule>
  </conditionalFormatting>
  <conditionalFormatting sqref="L60">
    <cfRule type="containsText" dxfId="10" priority="10" operator="containsText" text="Open">
      <formula>NOT(ISERROR(SEARCH("Open",L60)))</formula>
    </cfRule>
    <cfRule type="containsText" dxfId="9" priority="18" stopIfTrue="1" operator="containsText" text="OK">
      <formula>NOT(ISERROR(SEARCH("OK",L60)))</formula>
    </cfRule>
  </conditionalFormatting>
  <conditionalFormatting sqref="D59">
    <cfRule type="containsText" dxfId="8" priority="8" operator="containsText" text="Obstructed">
      <formula>NOT(ISERROR(SEARCH("Obstructed",D59)))</formula>
    </cfRule>
    <cfRule type="containsText" dxfId="7" priority="9" operator="containsText" text="Clear">
      <formula>NOT(ISERROR(SEARCH("Clear",D59)))</formula>
    </cfRule>
  </conditionalFormatting>
  <conditionalFormatting sqref="D60">
    <cfRule type="containsText" dxfId="6" priority="7" operator="containsText" text="Fully Closed">
      <formula>NOT(ISERROR(SEARCH("Fully Closed",D60)))</formula>
    </cfRule>
  </conditionalFormatting>
  <conditionalFormatting sqref="H54">
    <cfRule type="containsText" dxfId="5" priority="3" operator="containsText" text="Closed">
      <formula>NOT(ISERROR(SEARCH("Closed",H54)))</formula>
    </cfRule>
    <cfRule type="containsText" dxfId="4" priority="6" operator="containsText" text="Open">
      <formula>NOT(ISERROR(SEARCH("Open",H54)))</formula>
    </cfRule>
  </conditionalFormatting>
  <conditionalFormatting sqref="H55">
    <cfRule type="containsText" dxfId="3" priority="2" operator="containsText" text="Closed">
      <formula>NOT(ISERROR(SEARCH("Closed",H55)))</formula>
    </cfRule>
    <cfRule type="containsText" dxfId="2" priority="5" operator="containsText" text="Open">
      <formula>NOT(ISERROR(SEARCH("Open",H55)))</formula>
    </cfRule>
  </conditionalFormatting>
  <conditionalFormatting sqref="H56">
    <cfRule type="containsText" dxfId="1" priority="1" operator="containsText" text="Closed">
      <formula>NOT(ISERROR(SEARCH("Closed",H56)))</formula>
    </cfRule>
    <cfRule type="containsText" dxfId="0" priority="4" operator="containsText" text="Open">
      <formula>NOT(ISERROR(SEARCH("Open",H56)))</formula>
    </cfRule>
  </conditionalFormatting>
  <pageMargins left="0.7" right="0.7" top="0.75" bottom="0.75" header="0.3" footer="0.3"/>
  <ignoredErrors>
    <ignoredError sqref="D7 D6 D11 D8 C9:H9 J9 L9 N9 F6 H6 N6 L7 H8 L8 D10 F10 L10 P10 F11:Q11 L6 P7 P9 H10 J10 N8 N10 J6 P6 F7 H7 J7 N7 F8 J8 P8" numberStoredAsText="1"/>
    <ignoredError sqref="L5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00020-D727-734B-AA17-CB2F2B21F31F}">
  <dimension ref="A1:H33"/>
  <sheetViews>
    <sheetView workbookViewId="0">
      <selection activeCell="E18" sqref="E18"/>
    </sheetView>
  </sheetViews>
  <sheetFormatPr baseColWidth="10" defaultRowHeight="16" x14ac:dyDescent="0.2"/>
  <cols>
    <col min="1" max="1" width="17.33203125" customWidth="1"/>
    <col min="2" max="2" width="13" customWidth="1"/>
    <col min="7" max="7" width="33.5" customWidth="1"/>
    <col min="8" max="8" width="7.5" customWidth="1"/>
  </cols>
  <sheetData>
    <row r="1" spans="1:8" x14ac:dyDescent="0.2">
      <c r="A1" s="3" t="s">
        <v>154</v>
      </c>
      <c r="B1" t="str">
        <f>HEX2BIN(Sheet1!I9,8)</f>
        <v>11000001</v>
      </c>
      <c r="D1" s="3" t="s">
        <v>193</v>
      </c>
      <c r="G1" s="3" t="s">
        <v>198</v>
      </c>
    </row>
    <row r="2" spans="1:8" x14ac:dyDescent="0.2">
      <c r="A2" s="3" t="s">
        <v>155</v>
      </c>
      <c r="B2" t="str">
        <f>HEX2BIN(Sheet1!K9,8)</f>
        <v>01110001</v>
      </c>
      <c r="D2" s="3" t="s">
        <v>103</v>
      </c>
      <c r="E2" t="str">
        <f>MID(B16,5,1)</f>
        <v>0</v>
      </c>
      <c r="G2" s="3" t="s">
        <v>199</v>
      </c>
      <c r="H2" t="str">
        <f>LEFT(C21,1)</f>
        <v>0</v>
      </c>
    </row>
    <row r="3" spans="1:8" x14ac:dyDescent="0.2">
      <c r="A3" s="3" t="s">
        <v>156</v>
      </c>
      <c r="B3" t="str">
        <f>HEX2BIN(Sheet1!M9,8)</f>
        <v>00000111</v>
      </c>
      <c r="D3" s="3" t="s">
        <v>194</v>
      </c>
      <c r="E3" t="str">
        <f>MID(B16,6,1)</f>
        <v>0</v>
      </c>
      <c r="G3" s="3" t="s">
        <v>200</v>
      </c>
      <c r="H3" t="str">
        <f>MID(C21,2,1)</f>
        <v>0</v>
      </c>
    </row>
    <row r="4" spans="1:8" x14ac:dyDescent="0.2">
      <c r="A4" s="3" t="s">
        <v>157</v>
      </c>
      <c r="B4" t="str">
        <f>HEX2BIN(Sheet1!O9,8)</f>
        <v>11000000</v>
      </c>
      <c r="D4" s="3" t="s">
        <v>102</v>
      </c>
      <c r="E4" t="str">
        <f>MID(B16,7,1)</f>
        <v>0</v>
      </c>
      <c r="G4" s="3" t="s">
        <v>201</v>
      </c>
      <c r="H4" t="str">
        <f>MID(C21,3,1)</f>
        <v>0</v>
      </c>
    </row>
    <row r="5" spans="1:8" x14ac:dyDescent="0.2">
      <c r="A5" s="3" t="s">
        <v>158</v>
      </c>
      <c r="B5" t="str">
        <f>HEX2BIN(Sheet1!Q9,8)</f>
        <v>00000000</v>
      </c>
      <c r="D5" s="3" t="s">
        <v>195</v>
      </c>
      <c r="E5" t="str">
        <f>RIGHT(B16,1)</f>
        <v>0</v>
      </c>
      <c r="G5" s="3" t="s">
        <v>202</v>
      </c>
      <c r="H5" t="str">
        <f>RIGHT(C21,1)</f>
        <v>0</v>
      </c>
    </row>
    <row r="6" spans="1:8" x14ac:dyDescent="0.2">
      <c r="A6" s="3" t="s">
        <v>159</v>
      </c>
      <c r="B6" t="str">
        <f>HEX2BIN(Sheet1!C10,8)</f>
        <v>00011000</v>
      </c>
      <c r="D6" s="3" t="s">
        <v>196</v>
      </c>
      <c r="E6" t="str">
        <f>LEFT(B16,1)</f>
        <v>0</v>
      </c>
      <c r="G6" s="3" t="s">
        <v>203</v>
      </c>
      <c r="H6" t="str">
        <f>LEFT(C22,1)</f>
        <v>0</v>
      </c>
    </row>
    <row r="7" spans="1:8" x14ac:dyDescent="0.2">
      <c r="A7" s="3" t="s">
        <v>160</v>
      </c>
      <c r="B7" t="str">
        <f>HEX2BIN(Sheet1!E10,8)</f>
        <v>01111000</v>
      </c>
      <c r="D7" s="3" t="s">
        <v>197</v>
      </c>
      <c r="E7" t="str">
        <f>MID(B16,2,1)</f>
        <v>0</v>
      </c>
      <c r="G7" s="3" t="s">
        <v>204</v>
      </c>
      <c r="H7" t="str">
        <f>MID(C22,2,1)</f>
        <v>0</v>
      </c>
    </row>
    <row r="8" spans="1:8" x14ac:dyDescent="0.2">
      <c r="A8" s="3" t="s">
        <v>161</v>
      </c>
      <c r="B8" t="str">
        <f>HEX2BIN(Sheet1!G10,8)</f>
        <v>10000100</v>
      </c>
      <c r="D8" s="3" t="s">
        <v>78</v>
      </c>
      <c r="E8" t="str">
        <f>MID(B16,3,1)</f>
        <v>0</v>
      </c>
      <c r="G8" s="3" t="s">
        <v>205</v>
      </c>
      <c r="H8" t="str">
        <f>MID(C22,3,1)</f>
        <v>0</v>
      </c>
    </row>
    <row r="9" spans="1:8" x14ac:dyDescent="0.2">
      <c r="A9" s="3" t="s">
        <v>162</v>
      </c>
      <c r="B9" t="str">
        <f>HEX2BIN(Sheet1!I10,8)</f>
        <v>11011100</v>
      </c>
      <c r="D9" s="3" t="s">
        <v>77</v>
      </c>
      <c r="E9" t="str">
        <f>MID(B16,4,1)</f>
        <v>0</v>
      </c>
      <c r="G9" s="3" t="s">
        <v>206</v>
      </c>
      <c r="H9" t="str">
        <f>RIGHT(C22,1)</f>
        <v>0</v>
      </c>
    </row>
    <row r="10" spans="1:8" x14ac:dyDescent="0.2">
      <c r="A10" s="3" t="s">
        <v>163</v>
      </c>
      <c r="B10" t="str">
        <f>HEX2BIN(Sheet1!K10,8)</f>
        <v>00001111</v>
      </c>
      <c r="G10" s="3" t="s">
        <v>207</v>
      </c>
      <c r="H10" t="str">
        <f>LEFT(C23,1)</f>
        <v>0</v>
      </c>
    </row>
    <row r="11" spans="1:8" x14ac:dyDescent="0.2">
      <c r="A11" s="3" t="s">
        <v>164</v>
      </c>
      <c r="B11" t="str">
        <f>HEX2BIN(Sheet1!M10,8)</f>
        <v>11010101</v>
      </c>
      <c r="D11" s="3" t="s">
        <v>263</v>
      </c>
      <c r="G11" s="3" t="s">
        <v>208</v>
      </c>
      <c r="H11" t="str">
        <f>MID(C23,2,1)</f>
        <v>0</v>
      </c>
    </row>
    <row r="12" spans="1:8" x14ac:dyDescent="0.2">
      <c r="A12" s="3" t="s">
        <v>165</v>
      </c>
      <c r="B12" t="str">
        <f>HEX2BIN(Sheet1!O10,8)</f>
        <v>00000000</v>
      </c>
      <c r="D12" s="3" t="s">
        <v>264</v>
      </c>
      <c r="E12" t="str">
        <f>Sheet1!K49</f>
        <v>0</v>
      </c>
      <c r="G12" s="3" t="s">
        <v>209</v>
      </c>
      <c r="H12" t="str">
        <f>MID(C23,3,1)</f>
        <v>0</v>
      </c>
    </row>
    <row r="13" spans="1:8" x14ac:dyDescent="0.2">
      <c r="A13" s="3" t="s">
        <v>166</v>
      </c>
      <c r="B13" t="str">
        <f>HEX2BIN(Sheet1!Q10,8)</f>
        <v>00000001</v>
      </c>
      <c r="D13" s="3" t="s">
        <v>265</v>
      </c>
      <c r="E13" t="str">
        <f>Sheet1!K48</f>
        <v>0</v>
      </c>
      <c r="G13" s="3" t="s">
        <v>210</v>
      </c>
      <c r="H13" t="str">
        <f>RIGHT(C23,1)</f>
        <v>0</v>
      </c>
    </row>
    <row r="14" spans="1:8" x14ac:dyDescent="0.2">
      <c r="A14" s="3" t="s">
        <v>167</v>
      </c>
      <c r="B14" t="str">
        <f>HEX2BIN(Sheet1!C11,8)</f>
        <v>11111101</v>
      </c>
      <c r="D14" s="3" t="s">
        <v>266</v>
      </c>
      <c r="E14" t="str">
        <f>Sheet1!K47</f>
        <v>0</v>
      </c>
      <c r="G14" s="3" t="s">
        <v>211</v>
      </c>
      <c r="H14" t="str">
        <f>LEFT(C24,1)</f>
        <v>0</v>
      </c>
    </row>
    <row r="15" spans="1:8" x14ac:dyDescent="0.2">
      <c r="A15" s="3"/>
      <c r="D15" s="3" t="s">
        <v>267</v>
      </c>
      <c r="E15" t="str">
        <f>Sheet1!K46</f>
        <v>0</v>
      </c>
      <c r="G15" s="3" t="s">
        <v>212</v>
      </c>
      <c r="H15" t="str">
        <f>MID(C24,2,1)</f>
        <v>0</v>
      </c>
    </row>
    <row r="16" spans="1:8" x14ac:dyDescent="0.2">
      <c r="A16" s="3" t="s">
        <v>92</v>
      </c>
      <c r="B16" t="str">
        <f>HEX2BIN(Sheet1!M8,8)</f>
        <v>00000000</v>
      </c>
      <c r="D16" s="3" t="s">
        <v>268</v>
      </c>
      <c r="E16" t="str">
        <f>Sheet1!K45</f>
        <v>0</v>
      </c>
      <c r="G16" s="3" t="s">
        <v>213</v>
      </c>
      <c r="H16" t="str">
        <f>MID(C24,3,1)</f>
        <v>0</v>
      </c>
    </row>
    <row r="17" spans="1:8" x14ac:dyDescent="0.2">
      <c r="A17" s="3"/>
      <c r="D17" s="3" t="s">
        <v>269</v>
      </c>
      <c r="E17" t="str">
        <f>CONCATENATE(E12,E13,E14,E15,E16)</f>
        <v>00000</v>
      </c>
      <c r="G17" s="3" t="s">
        <v>214</v>
      </c>
      <c r="H17" t="str">
        <f>RIGHT(C24,1)</f>
        <v>0</v>
      </c>
    </row>
    <row r="18" spans="1:8" x14ac:dyDescent="0.2">
      <c r="A18" s="3" t="s">
        <v>182</v>
      </c>
      <c r="B18" t="str">
        <f>HEX2BIN(Sheet1!Q8,8)</f>
        <v>00000000</v>
      </c>
      <c r="D18" s="3" t="s">
        <v>270</v>
      </c>
      <c r="E18">
        <f>BIN2DEC(E17)</f>
        <v>0</v>
      </c>
      <c r="G18" s="3" t="s">
        <v>215</v>
      </c>
      <c r="H18" t="str">
        <f>LEFT(C25,1)</f>
        <v>0</v>
      </c>
    </row>
    <row r="19" spans="1:8" x14ac:dyDescent="0.2">
      <c r="G19" s="3" t="s">
        <v>216</v>
      </c>
      <c r="H19" t="str">
        <f>MID(C25,2,1)</f>
        <v>0</v>
      </c>
    </row>
    <row r="20" spans="1:8" x14ac:dyDescent="0.2">
      <c r="B20" t="s">
        <v>183</v>
      </c>
      <c r="C20" t="s">
        <v>184</v>
      </c>
      <c r="G20" s="3" t="s">
        <v>217</v>
      </c>
      <c r="H20" t="str">
        <f>MID(C25,3,1)</f>
        <v>0</v>
      </c>
    </row>
    <row r="21" spans="1:8" x14ac:dyDescent="0.2">
      <c r="A21" s="3" t="s">
        <v>185</v>
      </c>
      <c r="B21" t="str">
        <f>RIGHT(Sheet1!E11,1)</f>
        <v>0</v>
      </c>
      <c r="C21" s="1" t="str">
        <f>HEX2BIN(B21,4)</f>
        <v>0000</v>
      </c>
      <c r="G21" s="3" t="s">
        <v>218</v>
      </c>
      <c r="H21" t="str">
        <f>RIGHT(C25,1)</f>
        <v>0</v>
      </c>
    </row>
    <row r="22" spans="1:8" x14ac:dyDescent="0.2">
      <c r="A22" s="3" t="s">
        <v>186</v>
      </c>
      <c r="B22" t="str">
        <f>MID(Sheet1!E11,7,1)</f>
        <v>0</v>
      </c>
      <c r="C22" t="str">
        <f>HEX2BIN(B22,4)</f>
        <v>0000</v>
      </c>
      <c r="G22" s="3" t="s">
        <v>219</v>
      </c>
      <c r="H22" t="str">
        <f>LEFT(C26,1)</f>
        <v>0</v>
      </c>
    </row>
    <row r="23" spans="1:8" x14ac:dyDescent="0.2">
      <c r="A23" s="3" t="s">
        <v>187</v>
      </c>
      <c r="B23" t="str">
        <f>MID(Sheet1!E11,6,1)</f>
        <v>0</v>
      </c>
      <c r="C23" t="str">
        <f>HEX2BIN(B23,4)</f>
        <v>0000</v>
      </c>
      <c r="G23" s="3" t="s">
        <v>220</v>
      </c>
      <c r="H23" t="str">
        <f>MID(C26,2,1)</f>
        <v>0</v>
      </c>
    </row>
    <row r="24" spans="1:8" x14ac:dyDescent="0.2">
      <c r="A24" s="3" t="s">
        <v>188</v>
      </c>
      <c r="B24" t="str">
        <f>MID(Sheet1!E11,5,1)</f>
        <v>0</v>
      </c>
      <c r="C24" t="str">
        <f>HEX2BIN(B24,4)</f>
        <v>0000</v>
      </c>
      <c r="G24" s="3" t="s">
        <v>221</v>
      </c>
      <c r="H24" t="str">
        <f>MID(C26,3,1)</f>
        <v>0</v>
      </c>
    </row>
    <row r="25" spans="1:8" x14ac:dyDescent="0.2">
      <c r="A25" s="3" t="s">
        <v>189</v>
      </c>
      <c r="B25" t="str">
        <f>MID(Sheet1!E11,4,1)</f>
        <v>0</v>
      </c>
      <c r="C25" t="str">
        <f>HEX2BIN(B25,4)</f>
        <v>0000</v>
      </c>
      <c r="G25" s="3" t="s">
        <v>222</v>
      </c>
      <c r="H25" t="str">
        <f>RIGHT(C26,1)</f>
        <v>0</v>
      </c>
    </row>
    <row r="26" spans="1:8" x14ac:dyDescent="0.2">
      <c r="A26" s="55" t="s">
        <v>190</v>
      </c>
      <c r="B26" t="str">
        <f>MID(Sheet1!E11,3,1)</f>
        <v>0</v>
      </c>
      <c r="C26" t="str">
        <f>HEX2BIN(B26,4)</f>
        <v>0000</v>
      </c>
      <c r="G26" s="3" t="s">
        <v>223</v>
      </c>
      <c r="H26" t="str">
        <f>LEFT(C27,1)</f>
        <v>0</v>
      </c>
    </row>
    <row r="27" spans="1:8" x14ac:dyDescent="0.2">
      <c r="A27" s="3" t="s">
        <v>191</v>
      </c>
      <c r="B27" t="str">
        <f>MID(Sheet1!E11,2,1)</f>
        <v>0</v>
      </c>
      <c r="C27" t="str">
        <f>HEX2BIN(B27,4)</f>
        <v>0000</v>
      </c>
      <c r="G27" s="3" t="s">
        <v>224</v>
      </c>
      <c r="H27" t="str">
        <f>MID(C27,2,1)</f>
        <v>0</v>
      </c>
    </row>
    <row r="28" spans="1:8" x14ac:dyDescent="0.2">
      <c r="A28" s="55" t="s">
        <v>192</v>
      </c>
      <c r="B28" t="str">
        <f>LEFT(Sheet1!E11,1)</f>
        <v>0</v>
      </c>
      <c r="C28" t="str">
        <f>HEX2BIN(B28,4)</f>
        <v>0000</v>
      </c>
      <c r="G28" s="3" t="s">
        <v>225</v>
      </c>
      <c r="H28" t="str">
        <f>MID(C27,3,1)</f>
        <v>0</v>
      </c>
    </row>
    <row r="29" spans="1:8" x14ac:dyDescent="0.2">
      <c r="G29" s="3" t="s">
        <v>226</v>
      </c>
      <c r="H29" t="str">
        <f>RIGHT(C27,1)</f>
        <v>0</v>
      </c>
    </row>
    <row r="30" spans="1:8" x14ac:dyDescent="0.2">
      <c r="G30" s="3" t="s">
        <v>227</v>
      </c>
      <c r="H30" t="str">
        <f>LEFT(C28,1)</f>
        <v>0</v>
      </c>
    </row>
    <row r="31" spans="1:8" x14ac:dyDescent="0.2">
      <c r="G31" s="3" t="s">
        <v>228</v>
      </c>
      <c r="H31" t="str">
        <f>MID(C28,2,1)</f>
        <v>0</v>
      </c>
    </row>
    <row r="32" spans="1:8" x14ac:dyDescent="0.2">
      <c r="G32" s="3" t="s">
        <v>229</v>
      </c>
      <c r="H32" t="str">
        <f>MID(C28,3,1)</f>
        <v>0</v>
      </c>
    </row>
    <row r="33" spans="7:8" x14ac:dyDescent="0.2">
      <c r="G33" s="3" t="s">
        <v>230</v>
      </c>
      <c r="H33" t="str">
        <f>RIGHT(C28,1)</f>
        <v>0</v>
      </c>
    </row>
  </sheetData>
  <sheetProtection algorithmName="SHA-512" hashValue="CMLunmno6I3YxmWY12XnLyrAsJgDGxGe6K94kqvjJdZAizGzJNefxIpX/UfLdKMHnp5NusHdhPE9kEPZ231+xw==" saltValue="Ih1sAWfAf41bcX1lKKcJEA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 Rus</dc:creator>
  <cp:lastModifiedBy>Bogdan Rus</cp:lastModifiedBy>
  <dcterms:created xsi:type="dcterms:W3CDTF">2023-02-04T20:54:24Z</dcterms:created>
  <dcterms:modified xsi:type="dcterms:W3CDTF">2023-02-06T22:00:37Z</dcterms:modified>
</cp:coreProperties>
</file>